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<sst xmlns="http://schemas.openxmlformats.org/spreadsheetml/2006/main" count="228" uniqueCount="139">
  <si>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</si>
  <si>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</si>
  <si>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</si>
  <si>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</si>
  <si>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</si>
  <si>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</si>
  <si>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</si>
  <si>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</si>
  <si>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</si>
  <si>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</si>
  <si>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</si>
  <si>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</si>
  <si>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</si>
  <si>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</si>
  <si>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</si>
  <si>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</si>
  <si>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</si>
  <si>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</si>
  <si>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</si>
  <si>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</si>
  <si>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</si>
  <si>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</si>
  <si>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</si>
  <si>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</si>
  <si>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</si>
  <si>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</si>
  <si>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</si>
  <si>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</si>
  <si>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</si>
  <si>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</si>
  <si>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</si>
  <si>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</si>
  <si>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</si>
  <si>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</si>
  <si>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</si>
  <si>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</si>
  <si>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</si>
  <si>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</si>
  <si>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</si>
  <si>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</si>
  <si>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</si>
  <si>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</si>
  <si>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</si>
  <si>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</si>
  <si>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</si>
  <si>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</si>
  <si>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</si>
  <si>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</si>
  <si>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</si>
  <si>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</si>
  <si>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</si>
  <si>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</si>
  <si>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</si>
  <si>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</si>
  <si>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</si>
  <si>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</si>
  <si>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</si>
  <si>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</si>
  <si>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</si>
  <si>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</si>
  <si>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</si>
  <si>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</si>
  <si>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</si>
  <si>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</si>
  <si>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</si>
  <si>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</si>
  <si>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</si>
  <si>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</si>
  <si>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</si>
  <si>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</si>
  <si>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</si>
  <si>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</si>
  <si>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</si>
  <si>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</si>
  <si>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</si>
  <si>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</si>
  <si>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</si>
  <si>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</si>
  <si>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</si>
  <si>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</si>
  <si>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</si>
  <si>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</si>
  <si>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</si>
  <si>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</si>
  <si>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</si>
  <si>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</si>
  <si>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</si>
  <si>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</si>
  <si>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</si>
  <si>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</si>
  <si>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</si>
  <si>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</si>
  <si>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</si>
  <si>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</si>
  <si>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</si>
  <si>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</si>
  <si>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</si>
  <si>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</si>
  <si>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</si>
  <si>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</si>
  <si>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</si>
  <si>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</si>
  <si>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</si>
  <si>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</si>
  <si>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</si>
  <si>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</si>
  <si>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</si>
  <si>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</si>
  <si>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</si>
  <si>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</si>
  <si>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</si>
  <si>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</si>
  <si>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</si>
  <si>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</si>
  <si>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</si>
  <si>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</si>
  <si>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</si>
  <si>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</si>
  <si>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</si>
  <si>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</si>
  <si>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</si>
  <si>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</si>
  <si>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</si>
  <si>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</si>
  <si>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</si>
  <si>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</si>
  <si>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</si>
  <si>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</si>
  <si>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</si>
  <si>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</si>
  <si>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</si>
  <si>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</si>
  <si>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</si>
  <si>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</si>
  <si>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</si>
  <si>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</si>
  <si>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</si>
  <si>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9-р сарын арилжааны дүн</t>
  </si>
  <si>
    <t xml:space="preserve">2018 оны 9 дүгээр сарын 30-ны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</si>
</sst>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62\Members\&#1040;&#1088;&#1080;&#1083;&#1078;&#1072;&#1072;&#1085;&#1099;%20&#1090;&#1072;&#1081;&#1083;&#1072;&#1085;\2018\Mnth18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62\Members\&#1040;&#1088;&#1080;&#1083;&#1078;&#1072;&#1072;&#1085;&#1099;%20&#1090;&#1072;&#1081;&#1083;&#1072;&#1085;\2018\Mnth18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405</v>
          </cell>
          <cell r="E10">
            <v>801650</v>
          </cell>
          <cell r="F10">
            <v>187</v>
          </cell>
          <cell r="G10">
            <v>1260160</v>
          </cell>
          <cell r="H10">
            <v>2061810</v>
          </cell>
          <cell r="I10">
            <v>2083</v>
          </cell>
          <cell r="J10">
            <v>1458100</v>
          </cell>
          <cell r="K10">
            <v>0</v>
          </cell>
          <cell r="L10">
            <v>0</v>
          </cell>
          <cell r="M10">
            <v>1458100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8113</v>
          </cell>
          <cell r="G11">
            <v>4702130</v>
          </cell>
          <cell r="H11">
            <v>4702130</v>
          </cell>
          <cell r="I11">
            <v>150</v>
          </cell>
          <cell r="J11">
            <v>105000</v>
          </cell>
          <cell r="K11">
            <v>0</v>
          </cell>
          <cell r="L11">
            <v>0</v>
          </cell>
          <cell r="M11">
            <v>105000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4317272</v>
          </cell>
          <cell r="E12">
            <v>236256957.86</v>
          </cell>
          <cell r="F12">
            <v>80788</v>
          </cell>
          <cell r="G12">
            <v>61036477.04</v>
          </cell>
          <cell r="H12">
            <v>297293434.90000004</v>
          </cell>
          <cell r="I12">
            <v>431109</v>
          </cell>
          <cell r="J12">
            <v>1116069100</v>
          </cell>
          <cell r="K12">
            <v>0</v>
          </cell>
          <cell r="L12">
            <v>0</v>
          </cell>
          <cell r="M12">
            <v>1116069100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158000</v>
          </cell>
          <cell r="F13">
            <v>304</v>
          </cell>
          <cell r="G13">
            <v>3348520</v>
          </cell>
          <cell r="H13">
            <v>3506520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14221</v>
          </cell>
          <cell r="E14">
            <v>25376100</v>
          </cell>
          <cell r="F14">
            <v>1000</v>
          </cell>
          <cell r="G14">
            <v>148000</v>
          </cell>
          <cell r="H14">
            <v>25524100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1124511</v>
          </cell>
          <cell r="E16">
            <v>1394980498.59</v>
          </cell>
          <cell r="F16">
            <v>5394652</v>
          </cell>
          <cell r="G16">
            <v>1819881568.23</v>
          </cell>
          <cell r="H16">
            <v>3214862066.8199997</v>
          </cell>
          <cell r="I16">
            <v>2693403</v>
          </cell>
          <cell r="J16">
            <v>2023765600</v>
          </cell>
          <cell r="K16">
            <v>7500000</v>
          </cell>
          <cell r="L16">
            <v>5250000000</v>
          </cell>
          <cell r="M16">
            <v>7273765600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84</v>
          </cell>
          <cell r="U16">
            <v>8400000</v>
          </cell>
          <cell r="V16">
            <v>84</v>
          </cell>
          <cell r="W16">
            <v>8400000</v>
          </cell>
          <cell r="X16">
            <v>16800000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933</v>
          </cell>
          <cell r="E18">
            <v>7695300</v>
          </cell>
          <cell r="F18">
            <v>0</v>
          </cell>
          <cell r="G18">
            <v>0</v>
          </cell>
          <cell r="H18">
            <v>7695300</v>
          </cell>
          <cell r="I18">
            <v>32246</v>
          </cell>
          <cell r="J18">
            <v>22572200</v>
          </cell>
          <cell r="K18">
            <v>0</v>
          </cell>
          <cell r="L18">
            <v>0</v>
          </cell>
          <cell r="M18">
            <v>22572200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386</v>
          </cell>
          <cell r="E19">
            <v>10303560</v>
          </cell>
          <cell r="F19">
            <v>9549</v>
          </cell>
          <cell r="G19">
            <v>8285918.9</v>
          </cell>
          <cell r="H19">
            <v>18589478.9</v>
          </cell>
          <cell r="I19">
            <v>300</v>
          </cell>
          <cell r="J19">
            <v>1440000</v>
          </cell>
          <cell r="K19">
            <v>0</v>
          </cell>
          <cell r="L19">
            <v>0</v>
          </cell>
          <cell r="M19">
            <v>1440000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1605</v>
          </cell>
          <cell r="E20">
            <v>2267131</v>
          </cell>
          <cell r="F20">
            <v>4663</v>
          </cell>
          <cell r="G20">
            <v>4395933</v>
          </cell>
          <cell r="H20">
            <v>6663064</v>
          </cell>
          <cell r="I20">
            <v>1884</v>
          </cell>
          <cell r="J20">
            <v>1318800</v>
          </cell>
          <cell r="K20">
            <v>0</v>
          </cell>
          <cell r="L20">
            <v>0</v>
          </cell>
          <cell r="M20">
            <v>1318800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1437</v>
          </cell>
          <cell r="E21">
            <v>2681590</v>
          </cell>
          <cell r="F21">
            <v>2834</v>
          </cell>
          <cell r="G21">
            <v>14069940</v>
          </cell>
          <cell r="H21">
            <v>16751530</v>
          </cell>
          <cell r="I21">
            <v>33827</v>
          </cell>
          <cell r="J21">
            <v>53030800</v>
          </cell>
          <cell r="K21">
            <v>0</v>
          </cell>
          <cell r="L21">
            <v>0</v>
          </cell>
          <cell r="M21">
            <v>53030800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981106</v>
          </cell>
          <cell r="E22">
            <v>556859713.72</v>
          </cell>
          <cell r="F22">
            <v>968884</v>
          </cell>
          <cell r="G22">
            <v>225965710.78</v>
          </cell>
          <cell r="H22">
            <v>782825424.5</v>
          </cell>
          <cell r="I22">
            <v>4269488</v>
          </cell>
          <cell r="J22">
            <v>3719889600</v>
          </cell>
          <cell r="K22">
            <v>4405600</v>
          </cell>
          <cell r="L22">
            <v>3744760000</v>
          </cell>
          <cell r="M22">
            <v>7464649600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1581406</v>
          </cell>
          <cell r="E23">
            <v>173637083.5</v>
          </cell>
          <cell r="F23">
            <v>1218841</v>
          </cell>
          <cell r="G23">
            <v>155575384.9</v>
          </cell>
          <cell r="H23">
            <v>329212468.4</v>
          </cell>
          <cell r="I23">
            <v>214117</v>
          </cell>
          <cell r="J23">
            <v>641815500</v>
          </cell>
          <cell r="K23">
            <v>0</v>
          </cell>
          <cell r="L23">
            <v>0</v>
          </cell>
          <cell r="M23">
            <v>641815500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1944</v>
          </cell>
          <cell r="U23">
            <v>195803240</v>
          </cell>
          <cell r="V23">
            <v>1945</v>
          </cell>
          <cell r="W23">
            <v>195906520</v>
          </cell>
          <cell r="X23">
            <v>391709760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42</v>
          </cell>
          <cell r="E26">
            <v>787600</v>
          </cell>
          <cell r="F26">
            <v>1272</v>
          </cell>
          <cell r="G26">
            <v>2919750</v>
          </cell>
          <cell r="H26">
            <v>3707350</v>
          </cell>
          <cell r="I26">
            <v>10404</v>
          </cell>
          <cell r="J26">
            <v>7713300</v>
          </cell>
          <cell r="K26">
            <v>0</v>
          </cell>
          <cell r="L26">
            <v>0</v>
          </cell>
          <cell r="M26">
            <v>7713300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33545</v>
          </cell>
          <cell r="E28">
            <v>27281746</v>
          </cell>
          <cell r="F28">
            <v>43446</v>
          </cell>
          <cell r="G28">
            <v>29165284</v>
          </cell>
          <cell r="H28">
            <v>56447030</v>
          </cell>
          <cell r="I28">
            <v>1000</v>
          </cell>
          <cell r="J28">
            <v>850000</v>
          </cell>
          <cell r="K28">
            <v>0</v>
          </cell>
          <cell r="L28">
            <v>0</v>
          </cell>
          <cell r="M28">
            <v>850000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31538</v>
          </cell>
          <cell r="G29">
            <v>10945623.2</v>
          </cell>
          <cell r="H29">
            <v>10945623.2</v>
          </cell>
          <cell r="I29">
            <v>2216</v>
          </cell>
          <cell r="J29">
            <v>1551200</v>
          </cell>
          <cell r="K29">
            <v>0</v>
          </cell>
          <cell r="L29">
            <v>0</v>
          </cell>
          <cell r="M29">
            <v>1551200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200</v>
          </cell>
          <cell r="E33">
            <v>108200</v>
          </cell>
          <cell r="F33">
            <v>1000</v>
          </cell>
          <cell r="G33">
            <v>650000</v>
          </cell>
          <cell r="H33">
            <v>758200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665350</v>
          </cell>
          <cell r="E34">
            <v>221223705.53</v>
          </cell>
          <cell r="F34">
            <v>206983</v>
          </cell>
          <cell r="G34">
            <v>87567938.27</v>
          </cell>
          <cell r="H34">
            <v>308791643.8</v>
          </cell>
          <cell r="I34">
            <v>51543</v>
          </cell>
          <cell r="J34">
            <v>62218250</v>
          </cell>
          <cell r="K34">
            <v>0</v>
          </cell>
          <cell r="L34">
            <v>0</v>
          </cell>
          <cell r="M34">
            <v>62218250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11421</v>
          </cell>
          <cell r="J35">
            <v>7994700</v>
          </cell>
          <cell r="K35">
            <v>0</v>
          </cell>
          <cell r="L35">
            <v>0</v>
          </cell>
          <cell r="M35">
            <v>7994700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6656</v>
          </cell>
          <cell r="E36">
            <v>3396905</v>
          </cell>
          <cell r="F36">
            <v>128402</v>
          </cell>
          <cell r="G36">
            <v>70771207.17</v>
          </cell>
          <cell r="H36">
            <v>74168112.17</v>
          </cell>
          <cell r="I36">
            <v>112067</v>
          </cell>
          <cell r="J36">
            <v>83030700</v>
          </cell>
          <cell r="K36">
            <v>0</v>
          </cell>
          <cell r="L36">
            <v>0</v>
          </cell>
          <cell r="M36">
            <v>83030700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515886</v>
          </cell>
          <cell r="E37">
            <v>324964942.45</v>
          </cell>
          <cell r="F37">
            <v>664815</v>
          </cell>
          <cell r="G37">
            <v>426073201.16</v>
          </cell>
          <cell r="H37">
            <v>751038143.61</v>
          </cell>
          <cell r="I37">
            <v>878283</v>
          </cell>
          <cell r="J37">
            <v>3618062000</v>
          </cell>
          <cell r="K37">
            <v>1560754</v>
          </cell>
          <cell r="L37">
            <v>7491619200</v>
          </cell>
          <cell r="M37">
            <v>11109681200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4961</v>
          </cell>
          <cell r="E38">
            <v>8802279</v>
          </cell>
          <cell r="F38">
            <v>30416</v>
          </cell>
          <cell r="G38">
            <v>19264638</v>
          </cell>
          <cell r="H38">
            <v>28066917</v>
          </cell>
          <cell r="I38">
            <v>2068</v>
          </cell>
          <cell r="J38">
            <v>9926400</v>
          </cell>
          <cell r="K38">
            <v>0</v>
          </cell>
          <cell r="L38">
            <v>0</v>
          </cell>
          <cell r="M38">
            <v>9926400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932</v>
          </cell>
          <cell r="E40">
            <v>6474640</v>
          </cell>
          <cell r="F40">
            <v>21388</v>
          </cell>
          <cell r="G40">
            <v>18610263</v>
          </cell>
          <cell r="H40">
            <v>25084903</v>
          </cell>
          <cell r="I40">
            <v>50291</v>
          </cell>
          <cell r="J40">
            <v>112962900</v>
          </cell>
          <cell r="K40">
            <v>0</v>
          </cell>
          <cell r="L40">
            <v>0</v>
          </cell>
          <cell r="M40">
            <v>112962900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3838</v>
          </cell>
          <cell r="E42">
            <v>20308730</v>
          </cell>
          <cell r="F42">
            <v>17504</v>
          </cell>
          <cell r="G42">
            <v>9702613</v>
          </cell>
          <cell r="H42">
            <v>30011343</v>
          </cell>
          <cell r="I42">
            <v>3620</v>
          </cell>
          <cell r="J42">
            <v>10582300</v>
          </cell>
          <cell r="K42">
            <v>0</v>
          </cell>
          <cell r="L42">
            <v>0</v>
          </cell>
          <cell r="M42">
            <v>10582300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1221</v>
          </cell>
          <cell r="E43">
            <v>676170</v>
          </cell>
          <cell r="F43">
            <v>4629</v>
          </cell>
          <cell r="G43">
            <v>2572302</v>
          </cell>
          <cell r="H43">
            <v>3248472</v>
          </cell>
          <cell r="I43">
            <v>6895</v>
          </cell>
          <cell r="J43">
            <v>4838800</v>
          </cell>
          <cell r="K43">
            <v>0</v>
          </cell>
          <cell r="L43">
            <v>0</v>
          </cell>
          <cell r="M43">
            <v>4838800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35601</v>
          </cell>
          <cell r="E44">
            <v>24075900</v>
          </cell>
          <cell r="F44">
            <v>55457</v>
          </cell>
          <cell r="G44">
            <v>19973520</v>
          </cell>
          <cell r="H44">
            <v>44049420</v>
          </cell>
          <cell r="I44">
            <v>1716</v>
          </cell>
          <cell r="J44">
            <v>8236800</v>
          </cell>
          <cell r="K44">
            <v>0</v>
          </cell>
          <cell r="L44">
            <v>0</v>
          </cell>
          <cell r="M44">
            <v>8236800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4500</v>
          </cell>
          <cell r="E45">
            <v>535500</v>
          </cell>
          <cell r="F45">
            <v>2000</v>
          </cell>
          <cell r="G45">
            <v>1103700</v>
          </cell>
          <cell r="H45">
            <v>1639200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98263</v>
          </cell>
          <cell r="E46">
            <v>101088803.31</v>
          </cell>
          <cell r="F46">
            <v>100616</v>
          </cell>
          <cell r="G46">
            <v>63887850.13</v>
          </cell>
          <cell r="H46">
            <v>164976653.44</v>
          </cell>
          <cell r="I46">
            <v>3100029</v>
          </cell>
          <cell r="J46">
            <v>2471072450</v>
          </cell>
          <cell r="K46">
            <v>0</v>
          </cell>
          <cell r="L46">
            <v>0</v>
          </cell>
          <cell r="M46">
            <v>2471072450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6315</v>
          </cell>
          <cell r="J47">
            <v>4420500</v>
          </cell>
          <cell r="K47">
            <v>0</v>
          </cell>
          <cell r="L47">
            <v>0</v>
          </cell>
          <cell r="M47">
            <v>4420500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523</v>
          </cell>
          <cell r="E48">
            <v>5381980</v>
          </cell>
          <cell r="F48">
            <v>42019</v>
          </cell>
          <cell r="G48">
            <v>3218824.5</v>
          </cell>
          <cell r="H48">
            <v>8600804.5</v>
          </cell>
          <cell r="I48">
            <v>2757</v>
          </cell>
          <cell r="J48">
            <v>1929900</v>
          </cell>
          <cell r="K48">
            <v>0</v>
          </cell>
          <cell r="L48">
            <v>0</v>
          </cell>
          <cell r="M48">
            <v>1929900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38402</v>
          </cell>
          <cell r="E49">
            <v>21860637.62</v>
          </cell>
          <cell r="F49">
            <v>94871</v>
          </cell>
          <cell r="G49">
            <v>40178579.8</v>
          </cell>
          <cell r="H49">
            <v>62039217.42</v>
          </cell>
          <cell r="I49">
            <v>356850</v>
          </cell>
          <cell r="J49">
            <v>418227100</v>
          </cell>
          <cell r="K49">
            <v>0</v>
          </cell>
          <cell r="L49">
            <v>0</v>
          </cell>
          <cell r="M49">
            <v>418227100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472294</v>
          </cell>
          <cell r="E51">
            <v>219456903.76</v>
          </cell>
          <cell r="F51">
            <v>363523</v>
          </cell>
          <cell r="G51">
            <v>118485720.03</v>
          </cell>
          <cell r="H51">
            <v>337942623.78999996</v>
          </cell>
          <cell r="I51">
            <v>404960</v>
          </cell>
          <cell r="J51">
            <v>424455350</v>
          </cell>
          <cell r="K51">
            <v>0</v>
          </cell>
          <cell r="L51">
            <v>0</v>
          </cell>
          <cell r="M51">
            <v>424455350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1000</v>
          </cell>
          <cell r="U51">
            <v>100000000</v>
          </cell>
          <cell r="V51">
            <v>1000</v>
          </cell>
          <cell r="W51">
            <v>100000000</v>
          </cell>
          <cell r="X51">
            <v>200000000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4350</v>
          </cell>
          <cell r="E52">
            <v>8222347</v>
          </cell>
          <cell r="F52">
            <v>25379</v>
          </cell>
          <cell r="G52">
            <v>30443237</v>
          </cell>
          <cell r="H52">
            <v>38665584</v>
          </cell>
          <cell r="I52">
            <v>2417</v>
          </cell>
          <cell r="J52">
            <v>7620500</v>
          </cell>
          <cell r="K52">
            <v>0</v>
          </cell>
          <cell r="L52">
            <v>0</v>
          </cell>
          <cell r="M52">
            <v>7620500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141</v>
          </cell>
          <cell r="E54">
            <v>876730</v>
          </cell>
          <cell r="F54">
            <v>253283</v>
          </cell>
          <cell r="G54">
            <v>138618955.73</v>
          </cell>
          <cell r="H54">
            <v>139495685.73</v>
          </cell>
          <cell r="I54">
            <v>3134</v>
          </cell>
          <cell r="J54">
            <v>2193800</v>
          </cell>
          <cell r="K54">
            <v>0</v>
          </cell>
          <cell r="L54">
            <v>0</v>
          </cell>
          <cell r="M54">
            <v>2193800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1055</v>
          </cell>
          <cell r="J55">
            <v>738500</v>
          </cell>
          <cell r="K55">
            <v>0</v>
          </cell>
          <cell r="L55">
            <v>0</v>
          </cell>
          <cell r="M55">
            <v>738500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1896</v>
          </cell>
          <cell r="E57">
            <v>2513555.65</v>
          </cell>
          <cell r="F57">
            <v>16960</v>
          </cell>
          <cell r="G57">
            <v>1844108.5</v>
          </cell>
          <cell r="H57">
            <v>4357664.15</v>
          </cell>
          <cell r="I57">
            <v>4346</v>
          </cell>
          <cell r="J57">
            <v>9011800</v>
          </cell>
          <cell r="K57">
            <v>0</v>
          </cell>
          <cell r="L57">
            <v>0</v>
          </cell>
          <cell r="M57">
            <v>9011800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337456</v>
          </cell>
          <cell r="E58">
            <v>147088439.5</v>
          </cell>
          <cell r="F58">
            <v>350185</v>
          </cell>
          <cell r="G58">
            <v>152392095.95</v>
          </cell>
          <cell r="H58">
            <v>299480535.45</v>
          </cell>
          <cell r="I58">
            <v>221613</v>
          </cell>
          <cell r="J58">
            <v>503870100</v>
          </cell>
          <cell r="K58">
            <v>0</v>
          </cell>
          <cell r="L58">
            <v>0</v>
          </cell>
          <cell r="M58">
            <v>503870100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240</v>
          </cell>
          <cell r="E59">
            <v>3345500</v>
          </cell>
          <cell r="F59">
            <v>167</v>
          </cell>
          <cell r="G59">
            <v>5064560</v>
          </cell>
          <cell r="H59">
            <v>8410060</v>
          </cell>
          <cell r="I59">
            <v>2180</v>
          </cell>
          <cell r="J59">
            <v>1526000</v>
          </cell>
          <cell r="K59">
            <v>0</v>
          </cell>
          <cell r="L59">
            <v>0</v>
          </cell>
          <cell r="M59">
            <v>1526000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2204</v>
          </cell>
          <cell r="E60">
            <v>3395678</v>
          </cell>
          <cell r="F60">
            <v>8403</v>
          </cell>
          <cell r="G60">
            <v>22694890</v>
          </cell>
          <cell r="H60">
            <v>26090568</v>
          </cell>
          <cell r="I60">
            <v>25664</v>
          </cell>
          <cell r="J60">
            <v>35115100</v>
          </cell>
          <cell r="K60">
            <v>0</v>
          </cell>
          <cell r="L60">
            <v>0</v>
          </cell>
          <cell r="M60">
            <v>35115100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456104</v>
          </cell>
          <cell r="E61">
            <v>227558147.31</v>
          </cell>
          <cell r="F61">
            <v>589013</v>
          </cell>
          <cell r="G61">
            <v>241567643.41</v>
          </cell>
          <cell r="H61">
            <v>469125790.72</v>
          </cell>
          <cell r="I61">
            <v>279690</v>
          </cell>
          <cell r="J61">
            <v>483559250</v>
          </cell>
          <cell r="K61">
            <v>0</v>
          </cell>
          <cell r="L61">
            <v>0</v>
          </cell>
          <cell r="M61">
            <v>483559250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</v>
          </cell>
          <cell r="U61">
            <v>103280</v>
          </cell>
          <cell r="V61">
            <v>0</v>
          </cell>
          <cell r="W61">
            <v>0</v>
          </cell>
          <cell r="X61">
            <v>103280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6572</v>
          </cell>
          <cell r="E62">
            <v>8557500</v>
          </cell>
          <cell r="F62">
            <v>5940</v>
          </cell>
          <cell r="G62">
            <v>3159573</v>
          </cell>
          <cell r="H62">
            <v>11717073</v>
          </cell>
          <cell r="I62">
            <v>53608</v>
          </cell>
          <cell r="J62">
            <v>40034800</v>
          </cell>
          <cell r="K62">
            <v>0</v>
          </cell>
          <cell r="L62">
            <v>0</v>
          </cell>
          <cell r="M62">
            <v>40034800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151016</v>
          </cell>
          <cell r="E63">
            <v>83767629.1</v>
          </cell>
          <cell r="F63">
            <v>41801</v>
          </cell>
          <cell r="G63">
            <v>21331435.200000003</v>
          </cell>
          <cell r="H63">
            <v>105099064.3</v>
          </cell>
          <cell r="I63">
            <v>172721</v>
          </cell>
          <cell r="J63">
            <v>559145500</v>
          </cell>
          <cell r="K63">
            <v>0</v>
          </cell>
          <cell r="L63">
            <v>0</v>
          </cell>
          <cell r="M63">
            <v>559145500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1035</v>
          </cell>
          <cell r="E64">
            <v>709550</v>
          </cell>
          <cell r="F64">
            <v>2091</v>
          </cell>
          <cell r="G64">
            <v>13421934</v>
          </cell>
          <cell r="H64">
            <v>14131484</v>
          </cell>
          <cell r="I64">
            <v>1925</v>
          </cell>
          <cell r="J64">
            <v>1663200</v>
          </cell>
          <cell r="K64">
            <v>0</v>
          </cell>
          <cell r="L64">
            <v>0</v>
          </cell>
          <cell r="M64">
            <v>1663200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17000</v>
          </cell>
          <cell r="G66">
            <v>9603762</v>
          </cell>
          <cell r="H66">
            <v>9603762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3300</v>
          </cell>
          <cell r="E67">
            <v>7207192</v>
          </cell>
          <cell r="F67">
            <v>59914</v>
          </cell>
          <cell r="G67">
            <v>26781544</v>
          </cell>
          <cell r="H67">
            <v>33988736</v>
          </cell>
          <cell r="I67">
            <v>16959</v>
          </cell>
          <cell r="J67">
            <v>12363300</v>
          </cell>
          <cell r="K67">
            <v>0</v>
          </cell>
          <cell r="L67">
            <v>0</v>
          </cell>
          <cell r="M67">
            <v>12363300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522854844</v>
          </cell>
          <cell r="H16">
            <v>2267627600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2790482444</v>
          </cell>
          <cell r="N16">
            <v>46641120489.63999</v>
          </cell>
        </row>
        <row r="17">
          <cell r="B17" t="str">
            <v>NOVL</v>
          </cell>
          <cell r="C17" t="str">
            <v>"НОВЕЛ ИНВЕСТМЕНТ ҮЦК" ХХК</v>
          </cell>
          <cell r="D17" t="str">
            <v>●</v>
          </cell>
          <cell r="F17" t="str">
            <v>●</v>
          </cell>
          <cell r="G17">
            <v>193163461</v>
          </cell>
          <cell r="H17">
            <v>42294420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235457881</v>
          </cell>
          <cell r="N17">
            <v>25994503519.26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290977286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290977286</v>
          </cell>
          <cell r="N18">
            <v>23795210270.85</v>
          </cell>
        </row>
        <row r="19">
          <cell r="B19" t="str">
            <v>GAUL</v>
          </cell>
          <cell r="C19" t="str">
            <v>"ГАҮЛИ ҮЦК" ХХК</v>
          </cell>
          <cell r="D19" t="str">
            <v>●</v>
          </cell>
          <cell r="E19" t="str">
            <v>●</v>
          </cell>
          <cell r="G19">
            <v>323932915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323932915</v>
          </cell>
          <cell r="N19">
            <v>17878345780.2</v>
          </cell>
        </row>
        <row r="20">
          <cell r="B20" t="str">
            <v>BUMB</v>
          </cell>
          <cell r="C20" t="str">
            <v>"БУМБАТ-АЛТАЙ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473438353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473438353</v>
          </cell>
          <cell r="N20">
            <v>13061296681.109999</v>
          </cell>
        </row>
        <row r="21">
          <cell r="B21" t="str">
            <v>DELG</v>
          </cell>
          <cell r="C21" t="str">
            <v>"ДЭЛГЭРХАНГАЙ СЕКЮРИТИЗ ҮЦК" ХХК</v>
          </cell>
          <cell r="D21" t="str">
            <v>●</v>
          </cell>
          <cell r="G21">
            <v>28142035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28142035</v>
          </cell>
          <cell r="N21">
            <v>7821955021.740001</v>
          </cell>
        </row>
        <row r="22">
          <cell r="B22" t="str">
            <v>GLMT</v>
          </cell>
          <cell r="C22" t="str">
            <v>"ГОЛОМТ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552480879</v>
          </cell>
          <cell r="H22">
            <v>141461700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693942579</v>
          </cell>
          <cell r="N22">
            <v>8366532616.190001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406622896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406622896</v>
          </cell>
          <cell r="N23">
            <v>5258526914.419999</v>
          </cell>
        </row>
        <row r="24">
          <cell r="B24" t="str">
            <v>STIN</v>
          </cell>
          <cell r="C24" t="str">
            <v>"СТАНДАРТ ИНВЕСТМЕНТ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239869116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239869116</v>
          </cell>
          <cell r="N24">
            <v>4523654469.34</v>
          </cell>
        </row>
        <row r="25">
          <cell r="B25" t="str">
            <v>MNET</v>
          </cell>
          <cell r="C25" t="str">
            <v>"АРД СЕКЬЮРИТИЗ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173233864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173233864</v>
          </cell>
          <cell r="N25">
            <v>3845095100.950001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119094213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119094213</v>
          </cell>
          <cell r="N26">
            <v>2682232891.6800003</v>
          </cell>
        </row>
        <row r="27">
          <cell r="B27" t="str">
            <v>BLMB</v>
          </cell>
          <cell r="C27" t="str">
            <v>"БЛҮМСБЮРИ СЕКЮРИТИЕС ҮЦК" ХХК </v>
          </cell>
          <cell r="D27" t="str">
            <v>●</v>
          </cell>
          <cell r="E27" t="str">
            <v>●</v>
          </cell>
          <cell r="G27">
            <v>26854175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26854175</v>
          </cell>
          <cell r="N27">
            <v>1314626978.5699997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G28">
            <v>212641309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212641309</v>
          </cell>
          <cell r="N28">
            <v>915199212.4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G29">
            <v>2521550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2521550</v>
          </cell>
          <cell r="N29">
            <v>848355802.01</v>
          </cell>
        </row>
        <row r="30">
          <cell r="B30" t="str">
            <v>TTOL</v>
          </cell>
          <cell r="C30" t="str">
            <v>"АПЕКС КАПИТАЛ ҮЦК" ХХК</v>
          </cell>
          <cell r="D30" t="str">
            <v>●</v>
          </cell>
          <cell r="G30">
            <v>102284257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102284257</v>
          </cell>
          <cell r="N30">
            <v>735824266.75</v>
          </cell>
        </row>
        <row r="31">
          <cell r="B31" t="str">
            <v>GNDX</v>
          </cell>
          <cell r="C31" t="str">
            <v>"ГЕНДЕКС ҮЦК" ХХК</v>
          </cell>
          <cell r="D31" t="str">
            <v>●</v>
          </cell>
          <cell r="G31">
            <v>20068271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20068271</v>
          </cell>
          <cell r="N31">
            <v>723390045.3399999</v>
          </cell>
        </row>
        <row r="32">
          <cell r="B32" t="str">
            <v>SANR</v>
          </cell>
          <cell r="C32" t="str">
            <v>"САНАР ҮЦК" ХХК</v>
          </cell>
          <cell r="D32" t="str">
            <v>●</v>
          </cell>
          <cell r="G32">
            <v>79639864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79639864</v>
          </cell>
          <cell r="N32">
            <v>655893855.7</v>
          </cell>
        </row>
        <row r="33">
          <cell r="B33" t="str">
            <v>ECM</v>
          </cell>
          <cell r="C33" t="str">
            <v>"ЕВРАЗИА КАПИТАЛ ХОЛДИНГ ҮЦК" 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7625250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7625250</v>
          </cell>
          <cell r="N33">
            <v>641967927.77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18103988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18103988</v>
          </cell>
          <cell r="N34">
            <v>519548886.46000004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12066468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12066468</v>
          </cell>
          <cell r="N35">
            <v>516886718.98</v>
          </cell>
        </row>
        <row r="36">
          <cell r="B36" t="str">
            <v>LFTI</v>
          </cell>
          <cell r="C36" t="str">
            <v>"ЛАЙФТАЙМ ИНВЕСТМЕНТ ҮЦК" ХХК</v>
          </cell>
          <cell r="D36" t="str">
            <v>●</v>
          </cell>
          <cell r="E36" t="str">
            <v>●</v>
          </cell>
          <cell r="G36">
            <v>4344754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4344754</v>
          </cell>
          <cell r="N36">
            <v>435015426.31000006</v>
          </cell>
        </row>
        <row r="37">
          <cell r="B37" t="str">
            <v>TABO</v>
          </cell>
          <cell r="C37" t="str">
            <v>"ТАВАН БОГД ҮЦК" ХХК</v>
          </cell>
          <cell r="D37" t="str">
            <v>●</v>
          </cell>
          <cell r="G37">
            <v>15578587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15578587</v>
          </cell>
          <cell r="N37">
            <v>356582245.91999996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G38">
            <v>17274751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17274751</v>
          </cell>
          <cell r="N38">
            <v>324043319.84</v>
          </cell>
        </row>
        <row r="39">
          <cell r="B39" t="str">
            <v>TNGR</v>
          </cell>
          <cell r="C39" t="str">
            <v>"ТЭНГЭР КАПИТАЛ 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7698843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7698843</v>
          </cell>
          <cell r="N39">
            <v>319785316.32000005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300595821.88000005</v>
          </cell>
        </row>
        <row r="41">
          <cell r="B41" t="str">
            <v>GDSC</v>
          </cell>
          <cell r="C41" t="str">
            <v>"ГҮҮДСЕК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11706742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11706742</v>
          </cell>
          <cell r="N41">
            <v>252588455.57</v>
          </cell>
        </row>
        <row r="42">
          <cell r="B42" t="str">
            <v>MERG</v>
          </cell>
          <cell r="C42" t="str">
            <v>"МЭРГЭН САНАА ҮЦК" ХХК</v>
          </cell>
          <cell r="D42" t="str">
            <v>●</v>
          </cell>
          <cell r="G42">
            <v>6822809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6822809</v>
          </cell>
          <cell r="N42">
            <v>248013461.36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16157390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16157390</v>
          </cell>
          <cell r="N43">
            <v>237931328.45999998</v>
          </cell>
        </row>
        <row r="44">
          <cell r="B44" t="str">
            <v>MIBG</v>
          </cell>
          <cell r="C44" t="str">
            <v>"ЭМ АЙ БИ ЖИ ХХК ҮЦК"</v>
          </cell>
          <cell r="D44" t="str">
            <v>●</v>
          </cell>
          <cell r="E44" t="str">
            <v>●</v>
          </cell>
          <cell r="G44">
            <v>13512289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13512289</v>
          </cell>
          <cell r="N44">
            <v>210132633.95</v>
          </cell>
        </row>
        <row r="45">
          <cell r="B45" t="str">
            <v>MONG</v>
          </cell>
          <cell r="C45" t="str">
            <v>"МОНГОЛ СЕКЮРИТИЕС ҮЦК" ХК</v>
          </cell>
          <cell r="D45" t="str">
            <v>●</v>
          </cell>
          <cell r="G45">
            <v>159693377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159693377</v>
          </cell>
          <cell r="N45">
            <v>171910562</v>
          </cell>
        </row>
        <row r="46">
          <cell r="B46" t="str">
            <v>UNDR</v>
          </cell>
          <cell r="C46" t="str">
            <v>"ӨНДӨРХААН ИНВЕСТ ҮЦК" ХХК</v>
          </cell>
          <cell r="D46" t="str">
            <v>●</v>
          </cell>
          <cell r="G46">
            <v>7820018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7820018</v>
          </cell>
          <cell r="N46">
            <v>149570482.82999998</v>
          </cell>
        </row>
        <row r="47">
          <cell r="B47" t="str">
            <v>MSDQ</v>
          </cell>
          <cell r="C47" t="str">
            <v>"МАСДАК ҮНЭТ ЦААСНЫ КОМПАНИ" ХХК</v>
          </cell>
          <cell r="D47" t="str">
            <v>●</v>
          </cell>
          <cell r="G47">
            <v>4615256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4615256</v>
          </cell>
          <cell r="N47">
            <v>125236740.14000002</v>
          </cell>
        </row>
        <row r="48">
          <cell r="B48" t="str">
            <v>BULG</v>
          </cell>
          <cell r="C48" t="str">
            <v>"БУЛГАН БРОКЕР ҮЦК" ХХК</v>
          </cell>
          <cell r="D48" t="str">
            <v>●</v>
          </cell>
          <cell r="G48">
            <v>2301823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2301823</v>
          </cell>
          <cell r="N48">
            <v>120450019.91</v>
          </cell>
        </row>
        <row r="49">
          <cell r="B49" t="str">
            <v>APS</v>
          </cell>
          <cell r="C49" t="str">
            <v>"АЗИА ПАСИФИК СЕКЬЮРИТИС ҮЦК" ХХК</v>
          </cell>
          <cell r="D49" t="str">
            <v>●</v>
          </cell>
          <cell r="G49">
            <v>1018380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1018380</v>
          </cell>
          <cell r="N49">
            <v>102607457.4</v>
          </cell>
        </row>
        <row r="50">
          <cell r="B50" t="str">
            <v>NSEC</v>
          </cell>
          <cell r="C50" t="str">
            <v>"НЭЙШНЛ СЕКЮРИТИС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1464500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1464500</v>
          </cell>
          <cell r="N50">
            <v>78906483.77</v>
          </cell>
        </row>
        <row r="51">
          <cell r="B51" t="str">
            <v>BSK</v>
          </cell>
          <cell r="C51" t="str">
            <v>"БЛЮСКАЙ СЕКЬЮРИТИЗ ҮЦК" ХК</v>
          </cell>
          <cell r="D51" t="str">
            <v>●</v>
          </cell>
          <cell r="G51">
            <v>5650047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5650047</v>
          </cell>
          <cell r="N51">
            <v>77593821.23999998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G52">
            <v>3536562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3536562</v>
          </cell>
          <cell r="N52">
            <v>75768603.72</v>
          </cell>
        </row>
        <row r="53">
          <cell r="B53" t="str">
            <v>MICC</v>
          </cell>
          <cell r="C53" t="str">
            <v>"ЭМ АЙ СИ СИ  ҮЦК" ХХК</v>
          </cell>
          <cell r="D53" t="str">
            <v>●</v>
          </cell>
          <cell r="E53" t="str">
            <v>●</v>
          </cell>
          <cell r="G53">
            <v>493782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493782</v>
          </cell>
          <cell r="N53">
            <v>62652544.97</v>
          </cell>
        </row>
        <row r="54">
          <cell r="B54" t="str">
            <v>SECP</v>
          </cell>
          <cell r="C54" t="str">
            <v>"СИКАП  ҮЦК" ХХК</v>
          </cell>
          <cell r="D54" t="str">
            <v>●</v>
          </cell>
          <cell r="E54" t="str">
            <v>●</v>
          </cell>
          <cell r="G54">
            <v>7984000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7984000</v>
          </cell>
          <cell r="N54">
            <v>56428360.419999994</v>
          </cell>
        </row>
        <row r="55">
          <cell r="B55" t="str">
            <v>BLAC</v>
          </cell>
          <cell r="C55" t="str">
            <v>"БЛЭКСТОУН ИНТЕРНЭЙШНЛ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51296804.12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G56">
            <v>939020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939020</v>
          </cell>
          <cell r="N56">
            <v>44926835.03</v>
          </cell>
        </row>
        <row r="57">
          <cell r="B57" t="str">
            <v>ARGB</v>
          </cell>
          <cell r="C57" t="str">
            <v>"АРГАЙ БЭСТ ҮЦК" ХХК</v>
          </cell>
          <cell r="D57" t="str">
            <v>●</v>
          </cell>
          <cell r="G57">
            <v>1803700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1803700</v>
          </cell>
          <cell r="N57">
            <v>14753282.5</v>
          </cell>
        </row>
        <row r="58">
          <cell r="B58" t="str">
            <v>SILS</v>
          </cell>
          <cell r="C58" t="str">
            <v>"СИЛВЭР ЛАЙТ СЕКЮРИТИЙЗ ҮЦК" ХХК</v>
          </cell>
          <cell r="D58" t="str">
            <v>●</v>
          </cell>
          <cell r="G58">
            <v>6399168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6399168</v>
          </cell>
          <cell r="N58">
            <v>12659123</v>
          </cell>
        </row>
        <row r="59">
          <cell r="B59" t="str">
            <v>FCX</v>
          </cell>
          <cell r="C59" t="str">
            <v>"ЭФ СИ ИКС ҮЦК" ХХК</v>
          </cell>
          <cell r="D59" t="str">
            <v>●</v>
          </cell>
          <cell r="E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3788300</v>
          </cell>
        </row>
        <row r="60">
          <cell r="B60" t="str">
            <v>DCF</v>
          </cell>
          <cell r="C60" t="str">
            <v>ДИ СИ ЭФ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BKHE</v>
          </cell>
          <cell r="C61" t="str">
            <v>БАГА ХЭЭР ХХК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GNN</v>
          </cell>
          <cell r="C62" t="str">
            <v>ГОВИЙН НОЁН НУРУУ ХХК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ITR</v>
          </cell>
          <cell r="C63" t="str">
            <v>АЙ ТРЕЙД ХХК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BBSS</v>
          </cell>
          <cell r="C64" t="str">
            <v>БИ БИ ЭС ЭС ХХК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FINL</v>
          </cell>
          <cell r="C66" t="str">
            <v>ФИНАНС ЛИНК ГРУПП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CAPM</v>
          </cell>
          <cell r="C67" t="str">
            <v>"КАПИТАЛ МАРКЕТ КОРПОРАЦИ ҮЦК" ХХК</v>
          </cell>
          <cell r="D67" t="str">
            <v>●</v>
          </cell>
          <cell r="E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ACE</v>
          </cell>
          <cell r="C68" t="str">
            <v>"АСЕ ЭНД Т КАПИТАЛ ҮЦК" ХХК</v>
          </cell>
          <cell r="D68" t="str">
            <v>●</v>
          </cell>
          <cell r="E68" t="str">
            <v>●</v>
          </cell>
          <cell r="F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ZGB</v>
          </cell>
          <cell r="C69" t="str">
            <v>"ЗЭТ ЖИ БИ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SGC</v>
          </cell>
          <cell r="C70" t="str">
            <v>"ЭС ЖИ КАПИТАЛ ҮЦК" ХХК</v>
          </cell>
          <cell r="D70" t="str">
            <v>●</v>
          </cell>
          <cell r="E70" t="str">
            <v>●</v>
          </cell>
          <cell r="F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FRON</v>
          </cell>
          <cell r="C71" t="str">
            <v>"ФРОНТИЕР ҮЦК" ХХК</v>
          </cell>
          <cell r="D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N16" sqref="N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4"/>
    </row>
    <row r="10" ht="15.75">
      <c r="P10" s="24"/>
    </row>
    <row r="11" spans="12:16" ht="15" customHeight="1" thickBot="1">
      <c r="L11" s="45" t="s">
        <v>138</v>
      </c>
      <c r="M11" s="45"/>
      <c r="N11" s="45"/>
      <c r="O11" s="45"/>
      <c r="P11" s="24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0"/>
      <c r="N12" s="52" t="s">
        <v>130</v>
      </c>
      <c r="O12" s="53"/>
      <c r="P12" s="24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54"/>
      <c r="O13" s="55"/>
      <c r="P13" s="35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60" t="s">
        <v>5</v>
      </c>
      <c r="H14" s="61"/>
      <c r="I14" s="62"/>
      <c r="J14" s="60" t="s">
        <v>132</v>
      </c>
      <c r="K14" s="61"/>
      <c r="L14" s="62"/>
      <c r="M14" s="58" t="s">
        <v>6</v>
      </c>
      <c r="N14" s="37" t="s">
        <v>7</v>
      </c>
      <c r="O14" s="39" t="s">
        <v>8</v>
      </c>
      <c r="P14" s="35"/>
      <c r="Q14" s="10"/>
    </row>
    <row r="15" spans="1:17" s="8" customFormat="1" ht="55.9" customHeight="1">
      <c r="A15" s="47"/>
      <c r="B15" s="49"/>
      <c r="C15" s="49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59"/>
      <c r="N15" s="38"/>
      <c r="O15" s="40"/>
      <c r="P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329212468.4</v>
      </c>
      <c r="H16" s="17">
        <f>VLOOKUP(B16,'[1]Brokers'!$B$9:$X$67,23,0)</f>
        <v>391709760</v>
      </c>
      <c r="I16" s="17">
        <f>VLOOKUP(B16,'[2]Brokers'!$B$9:$R$67,17,0)</f>
        <v>0</v>
      </c>
      <c r="J16" s="17">
        <f>VLOOKUP(B16,'[1]Brokers'!$B$9:$M$67,12,0)</f>
        <v>641815500</v>
      </c>
      <c r="K16" s="17">
        <v>0</v>
      </c>
      <c r="L16" s="17">
        <v>0</v>
      </c>
      <c r="M16" s="18">
        <f aca="true" t="shared" si="0" ref="M16:M47">L16+I16+J16+H16+G16</f>
        <v>1362737728.4</v>
      </c>
      <c r="N16" s="31">
        <f>(VLOOKUP(B16,'[3]Sheet1'!$B$16:$N$74,13,0))+1362737728.4</f>
        <v>48003858218.03999</v>
      </c>
      <c r="O16" s="34">
        <f aca="true" t="shared" si="1" ref="O16:O47">N16/$N$75</f>
        <v>0.22650151604584623</v>
      </c>
      <c r="P16" s="36"/>
    </row>
    <row r="17" spans="1:16" ht="15">
      <c r="A17" s="12">
        <v>2</v>
      </c>
      <c r="B17" s="13" t="s">
        <v>12</v>
      </c>
      <c r="C17" s="14" t="s">
        <v>13</v>
      </c>
      <c r="D17" s="15" t="s">
        <v>14</v>
      </c>
      <c r="E17" s="16" t="s">
        <v>14</v>
      </c>
      <c r="F17" s="16" t="s">
        <v>14</v>
      </c>
      <c r="G17" s="17">
        <f>VLOOKUP(B17,'[1]Brokers'!$B$9:$H$67,7,0)</f>
        <v>3214862066.8199997</v>
      </c>
      <c r="H17" s="17">
        <f>VLOOKUP(B17,'[1]Brokers'!$B$9:$X$67,23,0)</f>
        <v>16800000</v>
      </c>
      <c r="I17" s="17">
        <f>VLOOKUP(B17,'[2]Brokers'!$B$9:$R$67,17,0)</f>
        <v>0</v>
      </c>
      <c r="J17" s="17">
        <f>VLOOKUP(B17,'[1]Brokers'!$B$9:$M$67,12,0)</f>
        <v>7273765600</v>
      </c>
      <c r="K17" s="17">
        <v>0</v>
      </c>
      <c r="L17" s="17">
        <v>0</v>
      </c>
      <c r="M17" s="18">
        <f t="shared" si="0"/>
        <v>10505427666.82</v>
      </c>
      <c r="N17" s="31">
        <f>(VLOOKUP(B17,'[3]Sheet1'!$B$16:$N$74,13,0))+10505427666.82</f>
        <v>34300637937.67</v>
      </c>
      <c r="O17" s="34">
        <f t="shared" si="1"/>
        <v>0.1618442096660942</v>
      </c>
      <c r="P17" s="36"/>
    </row>
    <row r="18" spans="1:16" ht="15">
      <c r="A18" s="12">
        <v>3</v>
      </c>
      <c r="B18" s="13" t="s">
        <v>15</v>
      </c>
      <c r="C18" s="14" t="s">
        <v>16</v>
      </c>
      <c r="D18" s="15" t="s">
        <v>14</v>
      </c>
      <c r="E18" s="16"/>
      <c r="F18" s="16" t="s">
        <v>14</v>
      </c>
      <c r="G18" s="17">
        <f>VLOOKUP(B18,'[1]Brokers'!$B$9:$H$67,7,0)</f>
        <v>337942623.78999996</v>
      </c>
      <c r="H18" s="17">
        <f>VLOOKUP(B18,'[1]Brokers'!$B$9:$X$67,23,0)</f>
        <v>200000000</v>
      </c>
      <c r="I18" s="17">
        <f>VLOOKUP(B18,'[2]Brokers'!$B$9:$R$67,17,0)</f>
        <v>0</v>
      </c>
      <c r="J18" s="17">
        <f>VLOOKUP(B18,'[1]Brokers'!$B$9:$M$67,12,0)</f>
        <v>424455350</v>
      </c>
      <c r="K18" s="17">
        <v>0</v>
      </c>
      <c r="L18" s="17">
        <v>0</v>
      </c>
      <c r="M18" s="18">
        <f t="shared" si="0"/>
        <v>962397973.79</v>
      </c>
      <c r="N18" s="31">
        <f>(VLOOKUP(B18,'[3]Sheet1'!$B$16:$N$74,13,0))+962397973.79</f>
        <v>26956901493.05</v>
      </c>
      <c r="O18" s="34">
        <f t="shared" si="1"/>
        <v>0.12719350657901474</v>
      </c>
      <c r="P18" s="36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>
        <f>VLOOKUP(B19,'[1]Brokers'!$B$9:$H$67,7,0)</f>
        <v>782825424.5</v>
      </c>
      <c r="H19" s="17">
        <f>VLOOKUP(B19,'[1]Brokers'!$B$9:$X$67,23,0)</f>
        <v>0</v>
      </c>
      <c r="I19" s="17">
        <f>VLOOKUP(B19,'[2]Brokers'!$B$9:$R$67,17,0)</f>
        <v>0</v>
      </c>
      <c r="J19" s="17">
        <f>VLOOKUP(B19,'[1]Brokers'!$B$9:$M$67,12,0)</f>
        <v>7464649600</v>
      </c>
      <c r="K19" s="17">
        <v>0</v>
      </c>
      <c r="L19" s="17">
        <v>0</v>
      </c>
      <c r="M19" s="18">
        <f t="shared" si="0"/>
        <v>8247475024.5</v>
      </c>
      <c r="N19" s="31">
        <f>(VLOOKUP(B19,'[3]Sheet1'!$B$16:$N$74,13,0))+8247475024.5</f>
        <v>21308771705.61</v>
      </c>
      <c r="O19" s="34">
        <f t="shared" si="1"/>
        <v>0.10054335787913182</v>
      </c>
      <c r="P19" s="36"/>
    </row>
    <row r="20" spans="1:16" ht="15">
      <c r="A20" s="12">
        <v>5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VLOOKUP(B20,'[1]Brokers'!$B$9:$H$67,7,0)</f>
        <v>751038143.61</v>
      </c>
      <c r="H20" s="17">
        <f>VLOOKUP(B20,'[1]Brokers'!$B$9:$X$67,23,0)</f>
        <v>0</v>
      </c>
      <c r="I20" s="17">
        <f>VLOOKUP(B20,'[2]Brokers'!$B$9:$R$67,17,0)</f>
        <v>0</v>
      </c>
      <c r="J20" s="17">
        <f>VLOOKUP(B20,'[1]Brokers'!$B$9:$M$67,12,0)</f>
        <v>11109681200</v>
      </c>
      <c r="K20" s="17">
        <v>0</v>
      </c>
      <c r="L20" s="17">
        <v>0</v>
      </c>
      <c r="M20" s="18">
        <f t="shared" si="0"/>
        <v>11860719343.61</v>
      </c>
      <c r="N20" s="31">
        <f>(VLOOKUP(B20,'[3]Sheet1'!$B$16:$N$74,13,0))+11860719343.61</f>
        <v>20227251959.800003</v>
      </c>
      <c r="O20" s="34">
        <f t="shared" si="1"/>
        <v>0.09544031260000416</v>
      </c>
      <c r="P20" s="36"/>
    </row>
    <row r="21" spans="1:17" s="29" customFormat="1" ht="15">
      <c r="A21" s="12">
        <v>6</v>
      </c>
      <c r="B21" s="13" t="s">
        <v>31</v>
      </c>
      <c r="C21" s="14" t="s">
        <v>32</v>
      </c>
      <c r="D21" s="15" t="s">
        <v>14</v>
      </c>
      <c r="E21" s="16" t="s">
        <v>14</v>
      </c>
      <c r="F21" s="16"/>
      <c r="G21" s="17">
        <f>VLOOKUP(B21,'[1]Brokers'!$B$9:$H$67,7,0)</f>
        <v>308791643.8</v>
      </c>
      <c r="H21" s="17">
        <f>VLOOKUP(B21,'[1]Brokers'!$B$9:$X$67,23,0)</f>
        <v>0</v>
      </c>
      <c r="I21" s="17">
        <f>VLOOKUP(B21,'[2]Brokers'!$B$9:$R$67,17,0)</f>
        <v>0</v>
      </c>
      <c r="J21" s="17">
        <f>VLOOKUP(B21,'[1]Brokers'!$B$9:$M$67,12,0)</f>
        <v>62218250</v>
      </c>
      <c r="K21" s="17">
        <v>0</v>
      </c>
      <c r="L21" s="17">
        <v>0</v>
      </c>
      <c r="M21" s="18">
        <f t="shared" si="0"/>
        <v>371009893.8</v>
      </c>
      <c r="N21" s="31">
        <f>(VLOOKUP(B21,'[3]Sheet1'!$B$16:$N$74,13,0))+371009893.8</f>
        <v>18249355674</v>
      </c>
      <c r="O21" s="34">
        <f t="shared" si="1"/>
        <v>0.08610780217385698</v>
      </c>
      <c r="P21" s="36"/>
      <c r="Q21" s="10"/>
    </row>
    <row r="22" spans="1:16" ht="15">
      <c r="A22" s="12">
        <v>7</v>
      </c>
      <c r="B22" s="13" t="s">
        <v>45</v>
      </c>
      <c r="C22" s="14" t="s">
        <v>46</v>
      </c>
      <c r="D22" s="15" t="s">
        <v>14</v>
      </c>
      <c r="E22" s="16"/>
      <c r="F22" s="16"/>
      <c r="G22" s="17">
        <f>VLOOKUP(B22,'[1]Brokers'!$B$9:$H$67,7,0)</f>
        <v>3707350</v>
      </c>
      <c r="H22" s="17">
        <f>VLOOKUP(B22,'[1]Brokers'!$B$9:$X$67,23,0)</f>
        <v>0</v>
      </c>
      <c r="I22" s="17">
        <f>VLOOKUP(B22,'[2]Brokers'!$B$9:$R$67,17,0)</f>
        <v>0</v>
      </c>
      <c r="J22" s="17">
        <f>VLOOKUP(B22,'[1]Brokers'!$B$9:$M$67,12,0)</f>
        <v>7713300</v>
      </c>
      <c r="K22" s="17">
        <v>0</v>
      </c>
      <c r="L22" s="17">
        <v>0</v>
      </c>
      <c r="M22" s="18">
        <f t="shared" si="0"/>
        <v>11420650</v>
      </c>
      <c r="N22" s="31">
        <f>(VLOOKUP(B22,'[3]Sheet1'!$B$16:$N$74,13,0))+11420650</f>
        <v>7833375671.740001</v>
      </c>
      <c r="O22" s="34">
        <f t="shared" si="1"/>
        <v>0.0369610179529066</v>
      </c>
      <c r="P22" s="36"/>
    </row>
    <row r="23" spans="1:16" ht="15">
      <c r="A23" s="12">
        <v>8</v>
      </c>
      <c r="B23" s="13" t="s">
        <v>29</v>
      </c>
      <c r="C23" s="14" t="s">
        <v>30</v>
      </c>
      <c r="D23" s="15" t="s">
        <v>14</v>
      </c>
      <c r="E23" s="16" t="s">
        <v>14</v>
      </c>
      <c r="F23" s="16" t="s">
        <v>14</v>
      </c>
      <c r="G23" s="17">
        <f>VLOOKUP(B23,'[1]Brokers'!$B$9:$H$67,7,0)</f>
        <v>164976653.44</v>
      </c>
      <c r="H23" s="17">
        <f>VLOOKUP(B23,'[1]Brokers'!$B$9:$X$67,23,0)</f>
        <v>0</v>
      </c>
      <c r="I23" s="17">
        <f>VLOOKUP(B23,'[2]Brokers'!$B$9:$R$67,17,0)</f>
        <v>0</v>
      </c>
      <c r="J23" s="17">
        <f>VLOOKUP(B23,'[1]Brokers'!$B$9:$M$67,12,0)</f>
        <v>2471072450</v>
      </c>
      <c r="K23" s="17">
        <v>0</v>
      </c>
      <c r="L23" s="17">
        <v>0</v>
      </c>
      <c r="M23" s="18">
        <f t="shared" si="0"/>
        <v>2636049103.44</v>
      </c>
      <c r="N23" s="31">
        <f>(VLOOKUP(B23,'[3]Sheet1'!$B$16:$N$74,13,0))+2636049103.44</f>
        <v>6481144204.390001</v>
      </c>
      <c r="O23" s="34">
        <f t="shared" si="1"/>
        <v>0.03058064585846999</v>
      </c>
      <c r="P23" s="36"/>
    </row>
    <row r="24" spans="1:16" ht="15">
      <c r="A24" s="12">
        <v>9</v>
      </c>
      <c r="B24" s="13" t="s">
        <v>25</v>
      </c>
      <c r="C24" s="14" t="s">
        <v>26</v>
      </c>
      <c r="D24" s="15" t="s">
        <v>14</v>
      </c>
      <c r="E24" s="16" t="s">
        <v>14</v>
      </c>
      <c r="F24" s="16"/>
      <c r="G24" s="17">
        <f>VLOOKUP(B24,'[1]Brokers'!$B$9:$H$67,7,0)</f>
        <v>469125790.72</v>
      </c>
      <c r="H24" s="17">
        <f>VLOOKUP(B24,'[1]Brokers'!$B$9:$X$67,23,0)</f>
        <v>103280</v>
      </c>
      <c r="I24" s="17">
        <f>VLOOKUP(B24,'[2]Brokers'!$B$9:$R$67,17,0)</f>
        <v>0</v>
      </c>
      <c r="J24" s="17">
        <f>VLOOKUP(B24,'[1]Brokers'!$B$9:$M$67,12,0)</f>
        <v>483559250</v>
      </c>
      <c r="K24" s="17">
        <v>0</v>
      </c>
      <c r="L24" s="17">
        <v>0</v>
      </c>
      <c r="M24" s="18">
        <f t="shared" si="0"/>
        <v>952788320.72</v>
      </c>
      <c r="N24" s="31">
        <f>(VLOOKUP(B24,'[3]Sheet1'!$B$16:$N$74,13,0))+952788320.72</f>
        <v>6211315235.139999</v>
      </c>
      <c r="O24" s="34">
        <f t="shared" si="1"/>
        <v>0.02930748422361528</v>
      </c>
      <c r="P24" s="36"/>
    </row>
    <row r="25" spans="1:17" ht="15">
      <c r="A25" s="12">
        <v>10</v>
      </c>
      <c r="B25" s="13" t="s">
        <v>27</v>
      </c>
      <c r="C25" s="14" t="s">
        <v>28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299480535.45</v>
      </c>
      <c r="H25" s="17">
        <f>VLOOKUP(B25,'[1]Brokers'!$B$9:$X$67,23,0)</f>
        <v>0</v>
      </c>
      <c r="I25" s="17">
        <f>VLOOKUP(B25,'[2]Brokers'!$B$9:$R$67,17,0)</f>
        <v>0</v>
      </c>
      <c r="J25" s="17">
        <f>VLOOKUP(B25,'[1]Brokers'!$B$9:$M$67,12,0)</f>
        <v>503870100</v>
      </c>
      <c r="K25" s="17">
        <v>0</v>
      </c>
      <c r="L25" s="17">
        <v>0</v>
      </c>
      <c r="M25" s="18">
        <f t="shared" si="0"/>
        <v>803350635.45</v>
      </c>
      <c r="N25" s="31">
        <f>(VLOOKUP(B25,'[3]Sheet1'!$B$16:$N$74,13,0))+803350635.45</f>
        <v>5327005104.79</v>
      </c>
      <c r="O25" s="34">
        <f t="shared" si="1"/>
        <v>0.02513495325185055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297293434.90000004</v>
      </c>
      <c r="H26" s="17">
        <f>VLOOKUP(B26,'[1]Brokers'!$B$9:$X$67,23,0)</f>
        <v>0</v>
      </c>
      <c r="I26" s="17">
        <f>VLOOKUP(B26,'[2]Brokers'!$B$9:$R$67,17,0)</f>
        <v>0</v>
      </c>
      <c r="J26" s="17">
        <f>VLOOKUP(B26,'[1]Brokers'!$B$9:$M$67,12,0)</f>
        <v>1116069100</v>
      </c>
      <c r="K26" s="17">
        <v>0</v>
      </c>
      <c r="L26" s="17">
        <v>0</v>
      </c>
      <c r="M26" s="18">
        <f t="shared" si="0"/>
        <v>1413362534.9</v>
      </c>
      <c r="N26" s="31">
        <f>(VLOOKUP(B26,'[3]Sheet1'!$B$16:$N$74,13,0))+1413362534.9</f>
        <v>4095595426.5800004</v>
      </c>
      <c r="O26" s="34">
        <f t="shared" si="1"/>
        <v>0.019324666967751928</v>
      </c>
      <c r="P26" s="36"/>
    </row>
    <row r="27" spans="1:16" ht="15">
      <c r="A27" s="12">
        <v>12</v>
      </c>
      <c r="B27" s="13" t="s">
        <v>79</v>
      </c>
      <c r="C27" s="14" t="s">
        <v>136</v>
      </c>
      <c r="D27" s="15" t="s">
        <v>14</v>
      </c>
      <c r="E27" s="16"/>
      <c r="F27" s="16"/>
      <c r="G27" s="17">
        <f>VLOOKUP(B27,'[1]Brokers'!$B$9:$H$67,7,0)</f>
        <v>105099064.3</v>
      </c>
      <c r="H27" s="17">
        <f>VLOOKUP(B27,'[1]Brokers'!$B$9:$X$67,23,0)</f>
        <v>0</v>
      </c>
      <c r="I27" s="17">
        <f>VLOOKUP(B27,'[2]Brokers'!$B$9:$R$67,17,0)</f>
        <v>0</v>
      </c>
      <c r="J27" s="17">
        <f>VLOOKUP(B27,'[1]Brokers'!$B$9:$M$67,12,0)</f>
        <v>559145500</v>
      </c>
      <c r="K27" s="17">
        <v>0</v>
      </c>
      <c r="L27" s="17">
        <v>0</v>
      </c>
      <c r="M27" s="18">
        <f t="shared" si="0"/>
        <v>664244564.3</v>
      </c>
      <c r="N27" s="31">
        <f>(VLOOKUP(B27,'[3]Sheet1'!$B$16:$N$74,13,0))+664244564.3</f>
        <v>1400068831.05</v>
      </c>
      <c r="O27" s="34">
        <f t="shared" si="1"/>
        <v>0.006606088022362065</v>
      </c>
      <c r="P27" s="36"/>
    </row>
    <row r="28" spans="1:16" ht="1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VLOOKUP(B28,'[1]Brokers'!$B$9:$H$67,7,0)</f>
        <v>62039217.42</v>
      </c>
      <c r="H28" s="17">
        <f>VLOOKUP(B28,'[1]Brokers'!$B$9:$X$67,23,0)</f>
        <v>0</v>
      </c>
      <c r="I28" s="17">
        <f>VLOOKUP(B28,'[2]Brokers'!$B$9:$R$67,17,0)</f>
        <v>0</v>
      </c>
      <c r="J28" s="17">
        <f>VLOOKUP(B28,'[1]Brokers'!$B$9:$M$67,12,0)</f>
        <v>418227100</v>
      </c>
      <c r="K28" s="17">
        <v>0</v>
      </c>
      <c r="L28" s="17">
        <v>0</v>
      </c>
      <c r="M28" s="18">
        <f t="shared" si="0"/>
        <v>480266317.42</v>
      </c>
      <c r="N28" s="31">
        <f>(VLOOKUP(B28,'[3]Sheet1'!$B$16:$N$74,13,0))+480266317.42</f>
        <v>1395465529.82</v>
      </c>
      <c r="O28" s="34">
        <f t="shared" si="1"/>
        <v>0.006584367795152934</v>
      </c>
      <c r="P28" s="36"/>
    </row>
    <row r="29" spans="1:16" ht="15">
      <c r="A29" s="12">
        <v>14</v>
      </c>
      <c r="B29" s="13" t="s">
        <v>51</v>
      </c>
      <c r="C29" s="14" t="s">
        <v>52</v>
      </c>
      <c r="D29" s="15" t="s">
        <v>14</v>
      </c>
      <c r="E29" s="16" t="s">
        <v>14</v>
      </c>
      <c r="F29" s="16"/>
      <c r="G29" s="17">
        <f>VLOOKUP(B29,'[1]Brokers'!$B$9:$H$67,7,0)</f>
        <v>18589478.9</v>
      </c>
      <c r="H29" s="17">
        <f>VLOOKUP(B29,'[1]Brokers'!$B$9:$X$67,23,0)</f>
        <v>0</v>
      </c>
      <c r="I29" s="17">
        <f>VLOOKUP(B29,'[2]Brokers'!$B$9:$R$67,17,0)</f>
        <v>0</v>
      </c>
      <c r="J29" s="17">
        <f>VLOOKUP(B29,'[1]Brokers'!$B$9:$M$67,12,0)</f>
        <v>1440000</v>
      </c>
      <c r="K29" s="17">
        <v>0</v>
      </c>
      <c r="L29" s="17">
        <v>0</v>
      </c>
      <c r="M29" s="18">
        <f t="shared" si="0"/>
        <v>20029478.9</v>
      </c>
      <c r="N29" s="31">
        <f>(VLOOKUP(B29,'[3]Sheet1'!$B$16:$N$74,13,0))+20029478.9</f>
        <v>1334656457.4699998</v>
      </c>
      <c r="O29" s="34">
        <f t="shared" si="1"/>
        <v>0.006297446127022506</v>
      </c>
      <c r="P29" s="36"/>
    </row>
    <row r="30" spans="1:16" ht="15">
      <c r="A30" s="12">
        <v>15</v>
      </c>
      <c r="B30" s="13" t="s">
        <v>108</v>
      </c>
      <c r="C30" s="14" t="s">
        <v>109</v>
      </c>
      <c r="D30" s="15" t="s">
        <v>14</v>
      </c>
      <c r="E30" s="16"/>
      <c r="F30" s="16"/>
      <c r="G30" s="17">
        <f>VLOOKUP(B30,'[1]Brokers'!$B$9:$H$67,7,0)</f>
        <v>25524100</v>
      </c>
      <c r="H30" s="17">
        <f>VLOOKUP(B30,'[1]Brokers'!$B$9:$X$67,23,0)</f>
        <v>0</v>
      </c>
      <c r="I30" s="17">
        <f>VLOOKUP(B30,'[2]Brokers'!$B$9:$R$67,17,0)</f>
        <v>0</v>
      </c>
      <c r="J30" s="17">
        <f>VLOOKUP(B30,'[1]Brokers'!$B$9:$M$67,12,0)</f>
        <v>0</v>
      </c>
      <c r="K30" s="17">
        <v>0</v>
      </c>
      <c r="L30" s="17">
        <v>0</v>
      </c>
      <c r="M30" s="18">
        <f t="shared" si="0"/>
        <v>25524100</v>
      </c>
      <c r="N30" s="31">
        <f>(VLOOKUP(B30,'[3]Sheet1'!$B$16:$N$74,13,0))+25524100</f>
        <v>873879902.01</v>
      </c>
      <c r="O30" s="34">
        <f t="shared" si="1"/>
        <v>0.004123316958153917</v>
      </c>
      <c r="P30" s="36"/>
    </row>
    <row r="31" spans="1:16" ht="15">
      <c r="A31" s="12">
        <v>16</v>
      </c>
      <c r="B31" s="13" t="s">
        <v>67</v>
      </c>
      <c r="C31" s="14" t="s">
        <v>68</v>
      </c>
      <c r="D31" s="15" t="s">
        <v>14</v>
      </c>
      <c r="E31" s="16"/>
      <c r="F31" s="16"/>
      <c r="G31" s="17">
        <f>VLOOKUP(B31,'[1]Brokers'!$B$9:$H$67,7,0)</f>
        <v>139495685.73</v>
      </c>
      <c r="H31" s="17">
        <f>VLOOKUP(B31,'[1]Brokers'!$B$9:$X$67,23,0)</f>
        <v>0</v>
      </c>
      <c r="I31" s="17">
        <f>VLOOKUP(B31,'[2]Brokers'!$B$9:$R$67,17,0)</f>
        <v>0</v>
      </c>
      <c r="J31" s="17">
        <f>VLOOKUP(B31,'[1]Brokers'!$B$9:$M$67,12,0)</f>
        <v>2193800</v>
      </c>
      <c r="K31" s="17">
        <v>0</v>
      </c>
      <c r="L31" s="17">
        <v>0</v>
      </c>
      <c r="M31" s="18">
        <f t="shared" si="0"/>
        <v>141689485.73</v>
      </c>
      <c r="N31" s="31">
        <f>(VLOOKUP(B31,'[3]Sheet1'!$B$16:$N$74,13,0))+141689485.73</f>
        <v>797583341.4300001</v>
      </c>
      <c r="O31" s="34">
        <f t="shared" si="1"/>
        <v>0.0037633190896084385</v>
      </c>
      <c r="P31" s="36"/>
    </row>
    <row r="32" spans="1:16" ht="15">
      <c r="A32" s="12">
        <v>17</v>
      </c>
      <c r="B32" s="13" t="s">
        <v>82</v>
      </c>
      <c r="C32" s="14" t="s">
        <v>83</v>
      </c>
      <c r="D32" s="15" t="s">
        <v>14</v>
      </c>
      <c r="E32" s="16"/>
      <c r="F32" s="16"/>
      <c r="G32" s="17">
        <f>VLOOKUP(B32,'[1]Brokers'!$B$9:$H$67,7,0)</f>
        <v>28066917</v>
      </c>
      <c r="H32" s="17">
        <f>VLOOKUP(B32,'[1]Brokers'!$B$9:$X$67,23,0)</f>
        <v>0</v>
      </c>
      <c r="I32" s="17">
        <f>VLOOKUP(B32,'[2]Brokers'!$B$9:$R$67,17,0)</f>
        <v>0</v>
      </c>
      <c r="J32" s="17">
        <f>VLOOKUP(B32,'[1]Brokers'!$B$9:$M$67,12,0)</f>
        <v>9926400</v>
      </c>
      <c r="K32" s="17">
        <v>0</v>
      </c>
      <c r="L32" s="17">
        <v>0</v>
      </c>
      <c r="M32" s="18">
        <f t="shared" si="0"/>
        <v>37993317</v>
      </c>
      <c r="N32" s="31">
        <f>(VLOOKUP(B32,'[3]Sheet1'!$B$16:$N$74,13,0))+37993317</f>
        <v>761383362.3399999</v>
      </c>
      <c r="O32" s="34">
        <f t="shared" si="1"/>
        <v>0.003592513024240309</v>
      </c>
      <c r="P32" s="36"/>
    </row>
    <row r="33" spans="1:16" ht="1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>
        <f>VLOOKUP(B33,'[1]Brokers'!$B$9:$H$67,7,0)</f>
        <v>10945623.2</v>
      </c>
      <c r="H33" s="17">
        <f>VLOOKUP(B33,'[1]Brokers'!$B$9:$X$67,23,0)</f>
        <v>0</v>
      </c>
      <c r="I33" s="17">
        <f>VLOOKUP(B33,'[2]Brokers'!$B$9:$R$67,17,0)</f>
        <v>0</v>
      </c>
      <c r="J33" s="17">
        <f>VLOOKUP(B33,'[1]Brokers'!$B$9:$M$67,12,0)</f>
        <v>1551200</v>
      </c>
      <c r="K33" s="17">
        <v>0</v>
      </c>
      <c r="L33" s="17">
        <v>0</v>
      </c>
      <c r="M33" s="18">
        <f t="shared" si="0"/>
        <v>12496823.2</v>
      </c>
      <c r="N33" s="31">
        <f>(VLOOKUP(B33,'[3]Sheet1'!$B$16:$N$74,13,0))+12496823.2</f>
        <v>654464750.97</v>
      </c>
      <c r="O33" s="34">
        <f t="shared" si="1"/>
        <v>0.0030880280001652914</v>
      </c>
      <c r="P33" s="36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VLOOKUP(B34,'[1]Brokers'!$B$9:$H$67,7,0)</f>
        <v>26090568</v>
      </c>
      <c r="H34" s="17">
        <f>VLOOKUP(B34,'[1]Brokers'!$B$9:$X$67,23,0)</f>
        <v>0</v>
      </c>
      <c r="I34" s="17">
        <f>VLOOKUP(B34,'[2]Brokers'!$B$9:$R$67,17,0)</f>
        <v>0</v>
      </c>
      <c r="J34" s="17">
        <f>VLOOKUP(B34,'[1]Brokers'!$B$9:$M$67,12,0)</f>
        <v>35115100</v>
      </c>
      <c r="K34" s="17">
        <v>0</v>
      </c>
      <c r="L34" s="17">
        <v>0</v>
      </c>
      <c r="M34" s="18">
        <f t="shared" si="0"/>
        <v>61205668</v>
      </c>
      <c r="N34" s="31">
        <f>(VLOOKUP(B34,'[3]Sheet1'!$B$16:$N$74,13,0))+61205668</f>
        <v>578092386.98</v>
      </c>
      <c r="O34" s="34">
        <f t="shared" si="1"/>
        <v>0.0027276724606341085</v>
      </c>
      <c r="P34" s="36"/>
    </row>
    <row r="35" spans="1:16" ht="15">
      <c r="A35" s="12">
        <v>20</v>
      </c>
      <c r="B35" s="13" t="s">
        <v>47</v>
      </c>
      <c r="C35" s="14" t="s">
        <v>48</v>
      </c>
      <c r="D35" s="15" t="s">
        <v>14</v>
      </c>
      <c r="E35" s="16"/>
      <c r="F35" s="16"/>
      <c r="G35" s="17">
        <f>VLOOKUP(B35,'[1]Brokers'!$B$9:$H$67,7,0)</f>
        <v>33988736</v>
      </c>
      <c r="H35" s="17">
        <f>VLOOKUP(B35,'[1]Brokers'!$B$9:$X$67,23,0)</f>
        <v>0</v>
      </c>
      <c r="I35" s="17">
        <f>VLOOKUP(B35,'[2]Brokers'!$B$9:$R$67,17,0)</f>
        <v>0</v>
      </c>
      <c r="J35" s="17">
        <f>VLOOKUP(B35,'[1]Brokers'!$B$9:$M$67,12,0)</f>
        <v>12363300</v>
      </c>
      <c r="K35" s="17">
        <v>0</v>
      </c>
      <c r="L35" s="17">
        <v>0</v>
      </c>
      <c r="M35" s="18">
        <f t="shared" si="0"/>
        <v>46352036</v>
      </c>
      <c r="N35" s="31">
        <f>(VLOOKUP(B35,'[3]Sheet1'!$B$16:$N$74,13,0))+46352036</f>
        <v>565900922.46</v>
      </c>
      <c r="O35" s="34">
        <f t="shared" si="1"/>
        <v>0.0026701482261432775</v>
      </c>
      <c r="P35" s="36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VLOOKUP(B36,'[1]Brokers'!$B$9:$H$67,7,0)</f>
        <v>30011343</v>
      </c>
      <c r="H36" s="17">
        <f>VLOOKUP(B36,'[1]Brokers'!$B$9:$X$67,23,0)</f>
        <v>0</v>
      </c>
      <c r="I36" s="17">
        <f>VLOOKUP(B36,'[2]Brokers'!$B$9:$R$67,17,0)</f>
        <v>0</v>
      </c>
      <c r="J36" s="17">
        <f>VLOOKUP(B36,'[1]Brokers'!$B$9:$M$67,12,0)</f>
        <v>10582300</v>
      </c>
      <c r="K36" s="17">
        <v>0</v>
      </c>
      <c r="L36" s="17">
        <v>0</v>
      </c>
      <c r="M36" s="18">
        <f t="shared" si="0"/>
        <v>40593643</v>
      </c>
      <c r="N36" s="31">
        <f>(VLOOKUP(B36,'[3]Sheet1'!$B$16:$N$74,13,0))+40593643</f>
        <v>475609069.31000006</v>
      </c>
      <c r="O36" s="34">
        <f t="shared" si="1"/>
        <v>0.002244114936648679</v>
      </c>
      <c r="P36" s="36"/>
    </row>
    <row r="37" spans="1:16" ht="15">
      <c r="A37" s="12">
        <v>22</v>
      </c>
      <c r="B37" s="13" t="s">
        <v>94</v>
      </c>
      <c r="C37" s="14" t="s">
        <v>95</v>
      </c>
      <c r="D37" s="15" t="s">
        <v>14</v>
      </c>
      <c r="E37" s="16" t="s">
        <v>14</v>
      </c>
      <c r="F37" s="16" t="s">
        <v>14</v>
      </c>
      <c r="G37" s="17">
        <f>VLOOKUP(B37,'[1]Brokers'!$B$9:$H$67,7,0)</f>
        <v>74168112.17</v>
      </c>
      <c r="H37" s="17">
        <f>VLOOKUP(B37,'[1]Brokers'!$B$9:$X$67,23,0)</f>
        <v>0</v>
      </c>
      <c r="I37" s="17">
        <f>VLOOKUP(B37,'[2]Brokers'!$B$9:$R$67,17,0)</f>
        <v>0</v>
      </c>
      <c r="J37" s="17">
        <f>VLOOKUP(B37,'[1]Brokers'!$B$9:$M$67,12,0)</f>
        <v>83030700</v>
      </c>
      <c r="K37" s="17">
        <v>0</v>
      </c>
      <c r="L37" s="17">
        <v>0</v>
      </c>
      <c r="M37" s="18">
        <f t="shared" si="0"/>
        <v>157198812.17000002</v>
      </c>
      <c r="N37" s="31">
        <f>(VLOOKUP(B37,'[3]Sheet1'!$B$16:$N$74,13,0))+157198812.17</f>
        <v>409787267.74</v>
      </c>
      <c r="O37" s="34">
        <f t="shared" si="1"/>
        <v>0.0019335411953307128</v>
      </c>
      <c r="P37" s="36"/>
    </row>
    <row r="38" spans="1:16" ht="15">
      <c r="A38" s="12">
        <v>23</v>
      </c>
      <c r="B38" s="13" t="s">
        <v>69</v>
      </c>
      <c r="C38" s="14" t="s">
        <v>70</v>
      </c>
      <c r="D38" s="15" t="s">
        <v>14</v>
      </c>
      <c r="E38" s="16"/>
      <c r="F38" s="16"/>
      <c r="G38" s="17">
        <f>VLOOKUP(B38,'[1]Brokers'!$B$9:$H$67,7,0)</f>
        <v>56447030</v>
      </c>
      <c r="H38" s="17">
        <f>VLOOKUP(B38,'[1]Brokers'!$B$9:$X$67,23,0)</f>
        <v>0</v>
      </c>
      <c r="I38" s="17">
        <f>VLOOKUP(B38,'[2]Brokers'!$B$9:$R$67,17,0)</f>
        <v>0</v>
      </c>
      <c r="J38" s="17">
        <f>VLOOKUP(B38,'[1]Brokers'!$B$9:$M$67,12,0)</f>
        <v>850000</v>
      </c>
      <c r="K38" s="17">
        <v>0</v>
      </c>
      <c r="L38" s="17">
        <v>0</v>
      </c>
      <c r="M38" s="18">
        <f t="shared" si="0"/>
        <v>57297030</v>
      </c>
      <c r="N38" s="31">
        <f>(VLOOKUP(B38,'[3]Sheet1'!$B$16:$N$74,13,0))+57297030</f>
        <v>381340349.84</v>
      </c>
      <c r="O38" s="34">
        <f t="shared" si="1"/>
        <v>0.0017993171918784167</v>
      </c>
      <c r="P38" s="36"/>
    </row>
    <row r="39" spans="1:16" ht="15">
      <c r="A39" s="12">
        <v>24</v>
      </c>
      <c r="B39" s="13" t="s">
        <v>122</v>
      </c>
      <c r="C39" s="14" t="s">
        <v>123</v>
      </c>
      <c r="D39" s="15" t="s">
        <v>14</v>
      </c>
      <c r="E39" s="16"/>
      <c r="F39" s="16"/>
      <c r="G39" s="17">
        <f>VLOOKUP(B39,'[1]Brokers'!$B$9:$H$67,7,0)</f>
        <v>25084903</v>
      </c>
      <c r="H39" s="17">
        <f>VLOOKUP(B39,'[1]Brokers'!$B$9:$X$67,23,0)</f>
        <v>0</v>
      </c>
      <c r="I39" s="17">
        <f>VLOOKUP(B39,'[2]Brokers'!$B$9:$R$67,17,0)</f>
        <v>0</v>
      </c>
      <c r="J39" s="17">
        <f>VLOOKUP(B39,'[1]Brokers'!$B$9:$M$67,12,0)</f>
        <v>112962900</v>
      </c>
      <c r="K39" s="17">
        <v>0</v>
      </c>
      <c r="L39" s="17">
        <v>0</v>
      </c>
      <c r="M39" s="18">
        <f t="shared" si="0"/>
        <v>138047803</v>
      </c>
      <c r="N39" s="31">
        <f>(VLOOKUP(B39,'[3]Sheet1'!$B$16:$N$74,13,0))+138047803</f>
        <v>375979131.46</v>
      </c>
      <c r="O39" s="34">
        <f t="shared" si="1"/>
        <v>0.001774020806629397</v>
      </c>
      <c r="P39" s="36"/>
    </row>
    <row r="40" spans="1:16" ht="15">
      <c r="A40" s="12">
        <v>25</v>
      </c>
      <c r="B40" s="13" t="s">
        <v>17</v>
      </c>
      <c r="C40" s="14" t="s">
        <v>18</v>
      </c>
      <c r="D40" s="15" t="s">
        <v>14</v>
      </c>
      <c r="E40" s="16" t="s">
        <v>14</v>
      </c>
      <c r="F40" s="16" t="s">
        <v>14</v>
      </c>
      <c r="G40" s="17">
        <f>VLOOKUP(B40,'[1]Brokers'!$B$9:$H$67,7,0)</f>
        <v>11717073</v>
      </c>
      <c r="H40" s="17">
        <f>VLOOKUP(B40,'[1]Brokers'!$B$9:$X$67,23,0)</f>
        <v>0</v>
      </c>
      <c r="I40" s="17">
        <f>VLOOKUP(B40,'[2]Brokers'!$B$9:$R$67,17,0)</f>
        <v>0</v>
      </c>
      <c r="J40" s="17">
        <f>VLOOKUP(B40,'[1]Brokers'!$B$9:$M$67,12,0)</f>
        <v>40034800</v>
      </c>
      <c r="K40" s="17">
        <v>0</v>
      </c>
      <c r="L40" s="17">
        <v>0</v>
      </c>
      <c r="M40" s="18">
        <f t="shared" si="0"/>
        <v>51751873</v>
      </c>
      <c r="N40" s="31">
        <f>(VLOOKUP(B40,'[3]Sheet1'!$B$16:$N$74,13,0))+51751873</f>
        <v>371537189.32000005</v>
      </c>
      <c r="O40" s="34">
        <f t="shared" si="1"/>
        <v>0.0017530619365250808</v>
      </c>
      <c r="P40" s="36"/>
    </row>
    <row r="41" spans="1:16" ht="15">
      <c r="A41" s="12">
        <v>26</v>
      </c>
      <c r="B41" s="13" t="s">
        <v>55</v>
      </c>
      <c r="C41" s="14" t="s">
        <v>56</v>
      </c>
      <c r="D41" s="15" t="s">
        <v>14</v>
      </c>
      <c r="E41" s="16"/>
      <c r="F41" s="16"/>
      <c r="G41" s="17">
        <f>VLOOKUP(B41,'[1]Brokers'!$B$9:$H$67,7,0)</f>
        <v>8410060</v>
      </c>
      <c r="H41" s="17">
        <f>VLOOKUP(B41,'[1]Brokers'!$B$9:$X$67,23,0)</f>
        <v>0</v>
      </c>
      <c r="I41" s="17">
        <f>VLOOKUP(B41,'[2]Brokers'!$B$9:$R$67,17,0)</f>
        <v>0</v>
      </c>
      <c r="J41" s="17">
        <f>VLOOKUP(B41,'[1]Brokers'!$B$9:$M$67,12,0)</f>
        <v>1526000</v>
      </c>
      <c r="K41" s="17">
        <v>0</v>
      </c>
      <c r="L41" s="17">
        <v>0</v>
      </c>
      <c r="M41" s="18">
        <f t="shared" si="0"/>
        <v>9936060</v>
      </c>
      <c r="N41" s="31">
        <f>(VLOOKUP(B41,'[3]Sheet1'!$B$16:$N$74,13,0))+9936060</f>
        <v>366518305.91999996</v>
      </c>
      <c r="O41" s="34">
        <f t="shared" si="1"/>
        <v>0.001729380825440344</v>
      </c>
      <c r="P41" s="36"/>
    </row>
    <row r="42" spans="1:16" ht="15">
      <c r="A42" s="12">
        <v>27</v>
      </c>
      <c r="B42" s="13" t="s">
        <v>77</v>
      </c>
      <c r="C42" s="14" t="s">
        <v>78</v>
      </c>
      <c r="D42" s="15" t="s">
        <v>14</v>
      </c>
      <c r="E42" s="16"/>
      <c r="F42" s="16"/>
      <c r="G42" s="17">
        <f>VLOOKUP(B42,'[1]Brokers'!$B$9:$H$67,7,0)</f>
        <v>0</v>
      </c>
      <c r="H42" s="17">
        <f>VLOOKUP(B42,'[1]Brokers'!$B$9:$X$67,23,0)</f>
        <v>0</v>
      </c>
      <c r="I42" s="17">
        <f>VLOOKUP(B42,'[2]Brokers'!$B$9:$R$67,17,0)</f>
        <v>0</v>
      </c>
      <c r="J42" s="17">
        <f>VLOOKUP(B42,'[1]Brokers'!$B$9:$M$67,12,0)</f>
        <v>7994700</v>
      </c>
      <c r="K42" s="17">
        <v>0</v>
      </c>
      <c r="L42" s="17">
        <v>0</v>
      </c>
      <c r="M42" s="18">
        <f t="shared" si="0"/>
        <v>7994700</v>
      </c>
      <c r="N42" s="31">
        <f>(VLOOKUP(B42,'[3]Sheet1'!$B$16:$N$74,13,0))+7994700</f>
        <v>308590521.88000005</v>
      </c>
      <c r="O42" s="34">
        <f t="shared" si="1"/>
        <v>0.0014560542347600654</v>
      </c>
      <c r="P42" s="36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VLOOKUP(B43,'[1]Brokers'!$B$9:$H$67,7,0)</f>
        <v>44049420</v>
      </c>
      <c r="H43" s="17">
        <f>VLOOKUP(B43,'[1]Brokers'!$B$9:$X$67,23,0)</f>
        <v>0</v>
      </c>
      <c r="I43" s="17">
        <f>VLOOKUP(B43,'[2]Brokers'!$B$9:$R$67,17,0)</f>
        <v>0</v>
      </c>
      <c r="J43" s="17">
        <f>VLOOKUP(B43,'[1]Brokers'!$B$9:$M$67,12,0)</f>
        <v>8236800</v>
      </c>
      <c r="K43" s="17">
        <v>0</v>
      </c>
      <c r="L43" s="17">
        <v>0</v>
      </c>
      <c r="M43" s="18">
        <f t="shared" si="0"/>
        <v>52286220</v>
      </c>
      <c r="N43" s="31">
        <f>(VLOOKUP(B43,'[3]Sheet1'!$B$16:$N$74,13,0))+52286220</f>
        <v>262418853.95</v>
      </c>
      <c r="O43" s="34">
        <f t="shared" si="1"/>
        <v>0.0012381977296223123</v>
      </c>
      <c r="P43" s="36"/>
    </row>
    <row r="44" spans="1:16" ht="15">
      <c r="A44" s="12">
        <v>29</v>
      </c>
      <c r="B44" s="13" t="s">
        <v>73</v>
      </c>
      <c r="C44" s="14" t="s">
        <v>74</v>
      </c>
      <c r="D44" s="15" t="s">
        <v>14</v>
      </c>
      <c r="E44" s="16"/>
      <c r="F44" s="16"/>
      <c r="G44" s="17">
        <f>VLOOKUP(B44,'[1]Brokers'!$B$9:$H$67,7,0)</f>
        <v>3248472</v>
      </c>
      <c r="H44" s="17">
        <f>VLOOKUP(B44,'[1]Brokers'!$B$9:$X$67,23,0)</f>
        <v>0</v>
      </c>
      <c r="I44" s="17">
        <f>VLOOKUP(B44,'[2]Brokers'!$B$9:$R$67,17,0)</f>
        <v>0</v>
      </c>
      <c r="J44" s="17">
        <f>VLOOKUP(B44,'[1]Brokers'!$B$9:$M$67,12,0)</f>
        <v>4838800</v>
      </c>
      <c r="K44" s="17">
        <v>0</v>
      </c>
      <c r="L44" s="17">
        <v>0</v>
      </c>
      <c r="M44" s="18">
        <f t="shared" si="0"/>
        <v>8087272</v>
      </c>
      <c r="N44" s="31">
        <f>(VLOOKUP(B44,'[3]Sheet1'!$B$16:$N$74,13,0))+8087272</f>
        <v>256100733.36</v>
      </c>
      <c r="O44" s="34">
        <f t="shared" si="1"/>
        <v>0.001208386294764402</v>
      </c>
      <c r="P44" s="36"/>
    </row>
    <row r="45" spans="1:16" ht="15">
      <c r="A45" s="12">
        <v>30</v>
      </c>
      <c r="B45" s="13" t="s">
        <v>49</v>
      </c>
      <c r="C45" s="14" t="s">
        <v>50</v>
      </c>
      <c r="D45" s="15" t="s">
        <v>14</v>
      </c>
      <c r="E45" s="16"/>
      <c r="F45" s="16"/>
      <c r="G45" s="17">
        <f>VLOOKUP(B45,'[1]Brokers'!$B$9:$H$67,7,0)</f>
        <v>16751530</v>
      </c>
      <c r="H45" s="17">
        <f>VLOOKUP(B45,'[1]Brokers'!$B$9:$X$67,23,0)</f>
        <v>0</v>
      </c>
      <c r="I45" s="17">
        <f>VLOOKUP(B45,'[2]Brokers'!$B$9:$R$67,17,0)</f>
        <v>0</v>
      </c>
      <c r="J45" s="17">
        <f>VLOOKUP(B45,'[1]Brokers'!$B$9:$M$67,12,0)</f>
        <v>53030800</v>
      </c>
      <c r="K45" s="17">
        <v>0</v>
      </c>
      <c r="L45" s="17">
        <v>0</v>
      </c>
      <c r="M45" s="18">
        <f t="shared" si="0"/>
        <v>69782330</v>
      </c>
      <c r="N45" s="31">
        <f>(VLOOKUP(B45,'[3]Sheet1'!$B$16:$N$74,13,0))+69782330</f>
        <v>190232349.91</v>
      </c>
      <c r="O45" s="34">
        <f t="shared" si="1"/>
        <v>0.0008975927613957149</v>
      </c>
      <c r="P45" s="36"/>
    </row>
    <row r="46" spans="1:16" ht="15">
      <c r="A46" s="12">
        <v>31</v>
      </c>
      <c r="B46" s="13" t="s">
        <v>75</v>
      </c>
      <c r="C46" s="14" t="s">
        <v>76</v>
      </c>
      <c r="D46" s="15" t="s">
        <v>14</v>
      </c>
      <c r="E46" s="16"/>
      <c r="F46" s="16"/>
      <c r="G46" s="17">
        <f>VLOOKUP(B46,'[1]Brokers'!$B$9:$H$67,7,0)</f>
        <v>0</v>
      </c>
      <c r="H46" s="17">
        <f>VLOOKUP(B46,'[1]Brokers'!$B$9:$X$67,23,0)</f>
        <v>0</v>
      </c>
      <c r="I46" s="17">
        <f>VLOOKUP(B46,'[2]Brokers'!$B$9:$R$67,17,0)</f>
        <v>0</v>
      </c>
      <c r="J46" s="17">
        <f>VLOOKUP(B46,'[1]Brokers'!$B$9:$M$67,12,0)</f>
        <v>4420500</v>
      </c>
      <c r="K46" s="17">
        <v>0</v>
      </c>
      <c r="L46" s="17">
        <v>0</v>
      </c>
      <c r="M46" s="18">
        <f t="shared" si="0"/>
        <v>4420500</v>
      </c>
      <c r="N46" s="31">
        <f>(VLOOKUP(B46,'[3]Sheet1'!$B$16:$N$74,13,0))+4420500</f>
        <v>176331062</v>
      </c>
      <c r="O46" s="34">
        <f t="shared" si="1"/>
        <v>0.0008320008922525485</v>
      </c>
      <c r="P46" s="36"/>
    </row>
    <row r="47" spans="1:16" ht="15">
      <c r="A47" s="12">
        <v>32</v>
      </c>
      <c r="B47" s="13" t="s">
        <v>53</v>
      </c>
      <c r="C47" s="14" t="s">
        <v>54</v>
      </c>
      <c r="D47" s="15" t="s">
        <v>14</v>
      </c>
      <c r="E47" s="16"/>
      <c r="F47" s="16"/>
      <c r="G47" s="17">
        <f>VLOOKUP(B47,'[1]Brokers'!$B$9:$H$67,7,0)</f>
        <v>14131484</v>
      </c>
      <c r="H47" s="17">
        <f>VLOOKUP(B47,'[1]Brokers'!$B$9:$X$67,23,0)</f>
        <v>0</v>
      </c>
      <c r="I47" s="17">
        <f>VLOOKUP(B47,'[2]Brokers'!$B$9:$R$67,17,0)</f>
        <v>0</v>
      </c>
      <c r="J47" s="17">
        <f>VLOOKUP(B47,'[1]Brokers'!$B$9:$M$67,12,0)</f>
        <v>1663200</v>
      </c>
      <c r="K47" s="17">
        <v>0</v>
      </c>
      <c r="L47" s="17">
        <v>0</v>
      </c>
      <c r="M47" s="18">
        <f t="shared" si="0"/>
        <v>15794684</v>
      </c>
      <c r="N47" s="31">
        <f>(VLOOKUP(B47,'[3]Sheet1'!$B$16:$N$74,13,0))+15794684</f>
        <v>165365166.82999998</v>
      </c>
      <c r="O47" s="34">
        <f t="shared" si="1"/>
        <v>0.0007802593870276329</v>
      </c>
      <c r="P47" s="36"/>
    </row>
    <row r="48" spans="1:16" ht="15">
      <c r="A48" s="12">
        <v>33</v>
      </c>
      <c r="B48" s="13" t="s">
        <v>80</v>
      </c>
      <c r="C48" s="14" t="s">
        <v>81</v>
      </c>
      <c r="D48" s="15" t="s">
        <v>14</v>
      </c>
      <c r="E48" s="16"/>
      <c r="F48" s="16"/>
      <c r="G48" s="17">
        <f>VLOOKUP(B48,'[1]Brokers'!$B$9:$H$67,7,0)</f>
        <v>8600804.5</v>
      </c>
      <c r="H48" s="17">
        <f>VLOOKUP(B48,'[1]Brokers'!$B$9:$X$67,23,0)</f>
        <v>0</v>
      </c>
      <c r="I48" s="17">
        <f>VLOOKUP(B48,'[2]Brokers'!$B$9:$R$67,17,0)</f>
        <v>0</v>
      </c>
      <c r="J48" s="17">
        <f>VLOOKUP(B48,'[1]Brokers'!$B$9:$M$67,12,0)</f>
        <v>1929900</v>
      </c>
      <c r="K48" s="17">
        <v>0</v>
      </c>
      <c r="L48" s="17">
        <v>0</v>
      </c>
      <c r="M48" s="18">
        <f aca="true" t="shared" si="2" ref="M48:M79">L48+I48+J48+H48+G48</f>
        <v>10530704.5</v>
      </c>
      <c r="N48" s="31">
        <f>(VLOOKUP(B48,'[3]Sheet1'!$B$16:$N$74,13,0))+10530704.5</f>
        <v>135767444.64000002</v>
      </c>
      <c r="O48" s="34">
        <f aca="true" t="shared" si="3" ref="O48:O79">N48/$N$75</f>
        <v>0.0006406054259420754</v>
      </c>
      <c r="P48" s="36"/>
    </row>
    <row r="49" spans="1:16" ht="15">
      <c r="A49" s="12">
        <v>34</v>
      </c>
      <c r="B49" s="13" t="s">
        <v>37</v>
      </c>
      <c r="C49" s="14" t="s">
        <v>38</v>
      </c>
      <c r="D49" s="15" t="s">
        <v>14</v>
      </c>
      <c r="E49" s="16" t="s">
        <v>14</v>
      </c>
      <c r="F49" s="16" t="s">
        <v>14</v>
      </c>
      <c r="G49" s="17">
        <f>VLOOKUP(B49,'[1]Brokers'!$B$9:$H$67,7,0)</f>
        <v>38665584</v>
      </c>
      <c r="H49" s="17">
        <f>VLOOKUP(B49,'[1]Brokers'!$B$9:$X$67,23,0)</f>
        <v>0</v>
      </c>
      <c r="I49" s="17">
        <f>VLOOKUP(B49,'[2]Brokers'!$B$9:$R$67,17,0)</f>
        <v>0</v>
      </c>
      <c r="J49" s="17">
        <f>VLOOKUP(B49,'[1]Brokers'!$B$9:$M$67,12,0)</f>
        <v>7620500</v>
      </c>
      <c r="K49" s="17">
        <v>0</v>
      </c>
      <c r="L49" s="17">
        <v>0</v>
      </c>
      <c r="M49" s="18">
        <f t="shared" si="2"/>
        <v>46286084</v>
      </c>
      <c r="N49" s="31">
        <f>(VLOOKUP(B49,'[3]Sheet1'!$B$16:$N$74,13,0))+46286084</f>
        <v>125192567.77</v>
      </c>
      <c r="O49" s="34">
        <f t="shared" si="3"/>
        <v>0.0005907089023715382</v>
      </c>
      <c r="P49" s="36"/>
    </row>
    <row r="50" spans="1:16" ht="15">
      <c r="A50" s="12">
        <v>35</v>
      </c>
      <c r="B50" s="13" t="s">
        <v>39</v>
      </c>
      <c r="C50" s="14" t="s">
        <v>40</v>
      </c>
      <c r="D50" s="15" t="s">
        <v>14</v>
      </c>
      <c r="E50" s="16"/>
      <c r="F50" s="16"/>
      <c r="G50" s="17">
        <f>VLOOKUP(B50,'[1]Brokers'!$B$9:$H$67,7,0)</f>
        <v>4702130</v>
      </c>
      <c r="H50" s="17">
        <f>VLOOKUP(B50,'[1]Brokers'!$B$9:$X$67,23,0)</f>
        <v>0</v>
      </c>
      <c r="I50" s="17">
        <f>VLOOKUP(B50,'[2]Brokers'!$B$9:$R$67,17,0)</f>
        <v>0</v>
      </c>
      <c r="J50" s="17">
        <f>VLOOKUP(B50,'[1]Brokers'!$B$9:$M$67,12,0)</f>
        <v>105000</v>
      </c>
      <c r="K50" s="17">
        <v>0</v>
      </c>
      <c r="L50" s="17">
        <v>0</v>
      </c>
      <c r="M50" s="18">
        <f t="shared" si="2"/>
        <v>4807130</v>
      </c>
      <c r="N50" s="31">
        <f>(VLOOKUP(B50,'[3]Sheet1'!$B$16:$N$74,13,0))+4807130</f>
        <v>107414587.4</v>
      </c>
      <c r="O50" s="34">
        <f t="shared" si="3"/>
        <v>0.0005068252385262635</v>
      </c>
      <c r="P50" s="36"/>
    </row>
    <row r="51" spans="1:17" s="20" customFormat="1" ht="15">
      <c r="A51" s="12">
        <v>36</v>
      </c>
      <c r="B51" s="13" t="s">
        <v>88</v>
      </c>
      <c r="C51" s="14" t="s">
        <v>89</v>
      </c>
      <c r="D51" s="15" t="s">
        <v>14</v>
      </c>
      <c r="E51" s="16"/>
      <c r="F51" s="16"/>
      <c r="G51" s="17">
        <f>VLOOKUP(B51,'[1]Brokers'!$B$9:$H$67,7,0)</f>
        <v>6663064</v>
      </c>
      <c r="H51" s="17">
        <f>VLOOKUP(B51,'[1]Brokers'!$B$9:$X$67,23,0)</f>
        <v>0</v>
      </c>
      <c r="I51" s="17">
        <f>VLOOKUP(B51,'[2]Brokers'!$B$9:$R$67,17,0)</f>
        <v>0</v>
      </c>
      <c r="J51" s="17">
        <f>VLOOKUP(B51,'[1]Brokers'!$B$9:$M$67,12,0)</f>
        <v>1318800</v>
      </c>
      <c r="K51" s="17">
        <v>0</v>
      </c>
      <c r="L51" s="17">
        <v>0</v>
      </c>
      <c r="M51" s="18">
        <f t="shared" si="2"/>
        <v>7981864</v>
      </c>
      <c r="N51" s="31">
        <f>(VLOOKUP(B51,'[3]Sheet1'!$B$16:$N$74,13,0))+7981864</f>
        <v>85575685.23999998</v>
      </c>
      <c r="O51" s="34">
        <f t="shared" si="3"/>
        <v>0.00040378051188056264</v>
      </c>
      <c r="P51" s="36"/>
      <c r="Q51" s="19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VLOOKUP(B52,'[1]Brokers'!$B$9:$H$67,7,0)</f>
        <v>7695300</v>
      </c>
      <c r="H52" s="17">
        <f>VLOOKUP(B52,'[1]Brokers'!$B$9:$X$67,23,0)</f>
        <v>0</v>
      </c>
      <c r="I52" s="17">
        <f>VLOOKUP(B52,'[2]Brokers'!$B$9:$R$67,17,0)</f>
        <v>0</v>
      </c>
      <c r="J52" s="17">
        <f>VLOOKUP(B52,'[1]Brokers'!$B$9:$M$67,12,0)</f>
        <v>22572200</v>
      </c>
      <c r="K52" s="17">
        <v>0</v>
      </c>
      <c r="L52" s="17">
        <v>0</v>
      </c>
      <c r="M52" s="18">
        <f t="shared" si="2"/>
        <v>30267500</v>
      </c>
      <c r="N52" s="31">
        <f>(VLOOKUP(B52,'[3]Sheet1'!$B$16:$N$74,13,0))+30267500</f>
        <v>81564304.12</v>
      </c>
      <c r="O52" s="34">
        <f t="shared" si="3"/>
        <v>0.00038485320189246195</v>
      </c>
      <c r="P52" s="36"/>
    </row>
    <row r="53" spans="1:16" ht="15">
      <c r="A53" s="12">
        <v>38</v>
      </c>
      <c r="B53" s="13" t="s">
        <v>65</v>
      </c>
      <c r="C53" s="14" t="s">
        <v>66</v>
      </c>
      <c r="D53" s="15" t="s">
        <v>14</v>
      </c>
      <c r="E53" s="16"/>
      <c r="F53" s="16"/>
      <c r="G53" s="17">
        <f>VLOOKUP(B53,'[1]Brokers'!$B$9:$H$67,7,0)</f>
        <v>2061810</v>
      </c>
      <c r="H53" s="17">
        <f>VLOOKUP(B53,'[1]Brokers'!$B$9:$X$67,23,0)</f>
        <v>0</v>
      </c>
      <c r="I53" s="17">
        <f>VLOOKUP(B53,'[2]Brokers'!$B$9:$R$67,17,0)</f>
        <v>0</v>
      </c>
      <c r="J53" s="17">
        <f>VLOOKUP(B53,'[1]Brokers'!$B$9:$M$67,12,0)</f>
        <v>1458100</v>
      </c>
      <c r="K53" s="17">
        <v>0</v>
      </c>
      <c r="L53" s="17">
        <v>0</v>
      </c>
      <c r="M53" s="18">
        <f t="shared" si="2"/>
        <v>3519910</v>
      </c>
      <c r="N53" s="31">
        <f>(VLOOKUP(B53,'[3]Sheet1'!$B$16:$N$74,13,0))+3519910</f>
        <v>79288513.72</v>
      </c>
      <c r="O53" s="34">
        <f t="shared" si="3"/>
        <v>0.00037411510718638125</v>
      </c>
      <c r="P53" s="36"/>
    </row>
    <row r="54" spans="1:16" ht="1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VLOOKUP(B54,'[1]Brokers'!$B$9:$H$67,7,0)</f>
        <v>1639200</v>
      </c>
      <c r="H54" s="17">
        <f>VLOOKUP(B54,'[1]Brokers'!$B$9:$X$67,23,0)</f>
        <v>0</v>
      </c>
      <c r="I54" s="17">
        <f>VLOOKUP(B54,'[2]Brokers'!$B$9:$R$67,17,0)</f>
        <v>0</v>
      </c>
      <c r="J54" s="17">
        <f>VLOOKUP(B54,'[1]Brokers'!$B$9:$M$67,12,0)</f>
        <v>0</v>
      </c>
      <c r="K54" s="17">
        <v>0</v>
      </c>
      <c r="L54" s="17">
        <v>0</v>
      </c>
      <c r="M54" s="18">
        <f t="shared" si="2"/>
        <v>1639200</v>
      </c>
      <c r="N54" s="31">
        <f>(VLOOKUP(B54,'[3]Sheet1'!$B$16:$N$74,13,0))+1639200</f>
        <v>64291744.97</v>
      </c>
      <c r="O54" s="34">
        <f t="shared" si="3"/>
        <v>0.0003033543187048536</v>
      </c>
      <c r="P54" s="36"/>
    </row>
    <row r="55" spans="1:16" ht="1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VLOOKUP(B55,'[1]Brokers'!$B$9:$H$67,7,0)</f>
        <v>0</v>
      </c>
      <c r="H55" s="17">
        <f>VLOOKUP(B55,'[1]Brokers'!$B$9:$X$67,23,0)</f>
        <v>0</v>
      </c>
      <c r="I55" s="17">
        <f>VLOOKUP(B55,'[2]Brokers'!$B$9:$R$67,17,0)</f>
        <v>0</v>
      </c>
      <c r="J55" s="17">
        <f>VLOOKUP(B55,'[1]Brokers'!$B$9:$M$67,12,0)</f>
        <v>738500</v>
      </c>
      <c r="K55" s="17">
        <v>0</v>
      </c>
      <c r="L55" s="17">
        <v>0</v>
      </c>
      <c r="M55" s="18">
        <f t="shared" si="2"/>
        <v>738500</v>
      </c>
      <c r="N55" s="31">
        <f>(VLOOKUP(B55,'[3]Sheet1'!$B$16:$N$74,13,0))+738500</f>
        <v>57166860.419999994</v>
      </c>
      <c r="O55" s="34">
        <f t="shared" si="3"/>
        <v>0.00026973624690536315</v>
      </c>
      <c r="P55" s="36"/>
    </row>
    <row r="56" spans="1:16" ht="15">
      <c r="A56" s="12">
        <v>41</v>
      </c>
      <c r="B56" s="13" t="s">
        <v>90</v>
      </c>
      <c r="C56" s="14" t="s">
        <v>91</v>
      </c>
      <c r="D56" s="15" t="s">
        <v>14</v>
      </c>
      <c r="E56" s="16"/>
      <c r="F56" s="16"/>
      <c r="G56" s="17">
        <f>VLOOKUP(B56,'[1]Brokers'!$B$9:$H$67,7,0)</f>
        <v>758200</v>
      </c>
      <c r="H56" s="17">
        <f>VLOOKUP(B56,'[1]Brokers'!$B$9:$X$67,23,0)</f>
        <v>0</v>
      </c>
      <c r="I56" s="17">
        <f>VLOOKUP(B56,'[2]Brokers'!$B$9:$R$67,17,0)</f>
        <v>0</v>
      </c>
      <c r="J56" s="17">
        <f>VLOOKUP(B56,'[1]Brokers'!$B$9:$M$67,12,0)</f>
        <v>0</v>
      </c>
      <c r="K56" s="17">
        <v>0</v>
      </c>
      <c r="L56" s="17">
        <v>0</v>
      </c>
      <c r="M56" s="18">
        <f t="shared" si="2"/>
        <v>758200</v>
      </c>
      <c r="N56" s="31">
        <f>(VLOOKUP(B56,'[3]Sheet1'!$B$16:$N$74,13,0))+758200</f>
        <v>45685035.03</v>
      </c>
      <c r="O56" s="34">
        <f t="shared" si="3"/>
        <v>0.00021556037533278702</v>
      </c>
      <c r="P56" s="36"/>
    </row>
    <row r="57" spans="1:16" ht="15">
      <c r="A57" s="12">
        <v>42</v>
      </c>
      <c r="B57" s="13" t="s">
        <v>135</v>
      </c>
      <c r="C57" s="14" t="s">
        <v>134</v>
      </c>
      <c r="D57" s="15" t="s">
        <v>14</v>
      </c>
      <c r="E57" s="16"/>
      <c r="F57" s="16"/>
      <c r="G57" s="17">
        <f>VLOOKUP(B57,'[1]Brokers'!$B$9:$H$67,7,0)</f>
        <v>4357664.15</v>
      </c>
      <c r="H57" s="17">
        <f>VLOOKUP(B57,'[1]Brokers'!$B$9:$X$67,23,0)</f>
        <v>0</v>
      </c>
      <c r="I57" s="17">
        <f>VLOOKUP(B57,'[2]Brokers'!$B$9:$R$67,17,0)</f>
        <v>0</v>
      </c>
      <c r="J57" s="17">
        <f>VLOOKUP(B57,'[1]Brokers'!$B$9:$M$67,12,0)</f>
        <v>9011800</v>
      </c>
      <c r="K57" s="17"/>
      <c r="L57" s="17">
        <v>0</v>
      </c>
      <c r="M57" s="18">
        <f t="shared" si="2"/>
        <v>13369464.15</v>
      </c>
      <c r="N57" s="31">
        <f>(VLOOKUP(B57,'[3]Sheet1'!$B$16:$N$74,13,0))+13369464.15</f>
        <v>26028587.15</v>
      </c>
      <c r="O57" s="34">
        <f t="shared" si="3"/>
        <v>0.00012281334602790074</v>
      </c>
      <c r="P57" s="36"/>
    </row>
    <row r="58" spans="1:16" ht="15">
      <c r="A58" s="12">
        <v>43</v>
      </c>
      <c r="B58" s="13" t="s">
        <v>86</v>
      </c>
      <c r="C58" s="14" t="s">
        <v>87</v>
      </c>
      <c r="D58" s="15" t="s">
        <v>14</v>
      </c>
      <c r="E58" s="16"/>
      <c r="F58" s="16"/>
      <c r="G58" s="17">
        <f>VLOOKUP(B58,'[1]Brokers'!$B$9:$H$67,7,0)</f>
        <v>3506520</v>
      </c>
      <c r="H58" s="17">
        <f>VLOOKUP(B58,'[1]Brokers'!$B$9:$X$67,23,0)</f>
        <v>0</v>
      </c>
      <c r="I58" s="17">
        <f>VLOOKUP(B58,'[2]Brokers'!$B$9:$R$67,17,0)</f>
        <v>0</v>
      </c>
      <c r="J58" s="17">
        <f>VLOOKUP(B58,'[1]Brokers'!$B$9:$M$67,12,0)</f>
        <v>0</v>
      </c>
      <c r="K58" s="17">
        <v>0</v>
      </c>
      <c r="L58" s="17">
        <v>0</v>
      </c>
      <c r="M58" s="18">
        <f t="shared" si="2"/>
        <v>3506520</v>
      </c>
      <c r="N58" s="31">
        <f>(VLOOKUP(B58,'[3]Sheet1'!$B$16:$N$74,13,0))+3506520</f>
        <v>18259802.5</v>
      </c>
      <c r="O58" s="34">
        <f t="shared" si="3"/>
        <v>8.615709450190527E-05</v>
      </c>
      <c r="P58" s="36"/>
    </row>
    <row r="59" spans="1:16" ht="1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VLOOKUP(B59,'[1]Brokers'!$B$9:$H$67,7,0)</f>
        <v>9603762</v>
      </c>
      <c r="H59" s="17">
        <f>VLOOKUP(B59,'[1]Brokers'!$B$9:$X$67,23,0)</f>
        <v>0</v>
      </c>
      <c r="I59" s="17">
        <f>VLOOKUP(B59,'[2]Brokers'!$B$9:$R$67,17,0)</f>
        <v>0</v>
      </c>
      <c r="J59" s="17">
        <f>VLOOKUP(B59,'[1]Brokers'!$B$9:$M$67,12,0)</f>
        <v>0</v>
      </c>
      <c r="K59" s="17">
        <v>0</v>
      </c>
      <c r="L59" s="17">
        <v>0</v>
      </c>
      <c r="M59" s="18">
        <f t="shared" si="2"/>
        <v>9603762</v>
      </c>
      <c r="N59" s="31">
        <f>(VLOOKUP(B59,'[3]Sheet1'!$B$16:$N$74,13,0))+9603762</f>
        <v>9603762</v>
      </c>
      <c r="O59" s="34">
        <f t="shared" si="3"/>
        <v>4.531441291371069E-05</v>
      </c>
      <c r="P59" s="36"/>
    </row>
    <row r="60" spans="1:16" ht="15">
      <c r="A60" s="12">
        <v>45</v>
      </c>
      <c r="B60" s="13" t="s">
        <v>106</v>
      </c>
      <c r="C60" s="14" t="s">
        <v>107</v>
      </c>
      <c r="D60" s="15" t="s">
        <v>14</v>
      </c>
      <c r="E60" s="15" t="s">
        <v>14</v>
      </c>
      <c r="F60" s="16"/>
      <c r="G60" s="17">
        <f>VLOOKUP(B60,'[1]Brokers'!$B$9:$H$67,7,0)</f>
        <v>0</v>
      </c>
      <c r="H60" s="17">
        <f>VLOOKUP(B60,'[1]Brokers'!$B$9:$X$67,23,0)</f>
        <v>0</v>
      </c>
      <c r="I60" s="17">
        <f>VLOOKUP(B60,'[2]Brokers'!$B$9:$R$67,17,0)</f>
        <v>0</v>
      </c>
      <c r="J60" s="17">
        <f>VLOOKUP(B60,'[1]Brokers'!$B$9:$M$67,12,0)</f>
        <v>0</v>
      </c>
      <c r="K60" s="17">
        <v>0</v>
      </c>
      <c r="L60" s="17">
        <v>0</v>
      </c>
      <c r="M60" s="18">
        <f t="shared" si="2"/>
        <v>0</v>
      </c>
      <c r="N60" s="31">
        <f>(VLOOKUP(B60,'[3]Sheet1'!$B$16:$N$74,13,0))+0</f>
        <v>3788300</v>
      </c>
      <c r="O60" s="34">
        <f t="shared" si="3"/>
        <v>1.7874723513661646E-05</v>
      </c>
      <c r="P60" s="36"/>
    </row>
    <row r="61" spans="1:16" ht="15">
      <c r="A61" s="12">
        <v>46</v>
      </c>
      <c r="B61" s="13" t="s">
        <v>112</v>
      </c>
      <c r="C61" s="14" t="s">
        <v>113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VLOOKUP(B61,'[1]Brokers'!$B$9:$X$67,23,0)</f>
        <v>0</v>
      </c>
      <c r="I61" s="17">
        <f>VLOOKUP(B61,'[2]Brokers'!$B$9:$R$67,17,0)</f>
        <v>0</v>
      </c>
      <c r="J61" s="17">
        <f>VLOOKUP(B61,'[1]Brokers'!$B$9:$M$67,12,0)</f>
        <v>0</v>
      </c>
      <c r="K61" s="17">
        <v>0</v>
      </c>
      <c r="L61" s="17">
        <v>0</v>
      </c>
      <c r="M61" s="18">
        <f t="shared" si="2"/>
        <v>0</v>
      </c>
      <c r="N61" s="31">
        <f>(VLOOKUP(B61,'[3]Sheet1'!$B$16:$N$74,13,0))+0</f>
        <v>0</v>
      </c>
      <c r="O61" s="34">
        <f t="shared" si="3"/>
        <v>0</v>
      </c>
      <c r="P61" s="36"/>
    </row>
    <row r="62" spans="1:16" ht="15">
      <c r="A62" s="12">
        <v>47</v>
      </c>
      <c r="B62" s="13" t="s">
        <v>114</v>
      </c>
      <c r="C62" s="14" t="s">
        <v>115</v>
      </c>
      <c r="D62" s="15"/>
      <c r="E62" s="16"/>
      <c r="F62" s="16"/>
      <c r="G62" s="17">
        <f>VLOOKUP(B62,'[1]Brokers'!$B$9:$H$67,7,0)</f>
        <v>0</v>
      </c>
      <c r="H62" s="17">
        <f>VLOOKUP(B62,'[1]Brokers'!$B$9:$X$67,23,0)</f>
        <v>0</v>
      </c>
      <c r="I62" s="17">
        <f>VLOOKUP(B62,'[2]Brokers'!$B$9:$R$67,17,0)</f>
        <v>0</v>
      </c>
      <c r="J62" s="17">
        <f>VLOOKUP(B62,'[1]Brokers'!$B$9:$M$67,12,0)</f>
        <v>0</v>
      </c>
      <c r="K62" s="17">
        <v>0</v>
      </c>
      <c r="L62" s="17">
        <v>0</v>
      </c>
      <c r="M62" s="18">
        <f t="shared" si="2"/>
        <v>0</v>
      </c>
      <c r="N62" s="31">
        <f>(VLOOKUP(B62,'[3]Sheet1'!$B$16:$N$74,13,0))+0</f>
        <v>0</v>
      </c>
      <c r="O62" s="34">
        <f t="shared" si="3"/>
        <v>0</v>
      </c>
      <c r="P62" s="36"/>
    </row>
    <row r="63" spans="1:16" ht="15">
      <c r="A63" s="12">
        <v>48</v>
      </c>
      <c r="B63" s="13" t="s">
        <v>100</v>
      </c>
      <c r="C63" s="14" t="s">
        <v>101</v>
      </c>
      <c r="D63" s="15"/>
      <c r="E63" s="16"/>
      <c r="F63" s="16"/>
      <c r="G63" s="17">
        <f>VLOOKUP(B63,'[1]Brokers'!$B$9:$H$67,7,0)</f>
        <v>0</v>
      </c>
      <c r="H63" s="17">
        <f>VLOOKUP(B63,'[1]Brokers'!$B$9:$X$67,23,0)</f>
        <v>0</v>
      </c>
      <c r="I63" s="17">
        <f>VLOOKUP(B63,'[2]Brokers'!$B$9:$R$67,17,0)</f>
        <v>0</v>
      </c>
      <c r="J63" s="17">
        <f>VLOOKUP(B63,'[1]Brokers'!$B$9:$M$67,12,0)</f>
        <v>0</v>
      </c>
      <c r="K63" s="17">
        <v>0</v>
      </c>
      <c r="L63" s="17">
        <v>0</v>
      </c>
      <c r="M63" s="18">
        <f t="shared" si="2"/>
        <v>0</v>
      </c>
      <c r="N63" s="31">
        <f>(VLOOKUP(B63,'[3]Sheet1'!$B$16:$N$74,13,0))+0</f>
        <v>0</v>
      </c>
      <c r="O63" s="34">
        <f t="shared" si="3"/>
        <v>0</v>
      </c>
      <c r="P63" s="36"/>
    </row>
    <row r="64" spans="1:16" ht="15">
      <c r="A64" s="12">
        <v>49</v>
      </c>
      <c r="B64" s="13" t="s">
        <v>120</v>
      </c>
      <c r="C64" s="14" t="s">
        <v>121</v>
      </c>
      <c r="D64" s="15"/>
      <c r="E64" s="16"/>
      <c r="F64" s="16"/>
      <c r="G64" s="17">
        <f>VLOOKUP(B64,'[1]Brokers'!$B$9:$H$67,7,0)</f>
        <v>0</v>
      </c>
      <c r="H64" s="17">
        <f>VLOOKUP(B64,'[1]Brokers'!$B$9:$X$67,23,0)</f>
        <v>0</v>
      </c>
      <c r="I64" s="17">
        <f>VLOOKUP(B64,'[2]Brokers'!$B$9:$R$67,17,0)</f>
        <v>0</v>
      </c>
      <c r="J64" s="17">
        <f>VLOOKUP(B64,'[1]Brokers'!$B$9:$M$67,12,0)</f>
        <v>0</v>
      </c>
      <c r="K64" s="17">
        <v>0</v>
      </c>
      <c r="L64" s="17">
        <v>0</v>
      </c>
      <c r="M64" s="18">
        <f t="shared" si="2"/>
        <v>0</v>
      </c>
      <c r="N64" s="31">
        <f>(VLOOKUP(B64,'[3]Sheet1'!$B$16:$N$74,13,0))+0</f>
        <v>0</v>
      </c>
      <c r="O64" s="34">
        <f t="shared" si="3"/>
        <v>0</v>
      </c>
      <c r="P64" s="36"/>
    </row>
    <row r="65" spans="1:16" ht="15">
      <c r="A65" s="12">
        <v>50</v>
      </c>
      <c r="B65" s="13" t="s">
        <v>116</v>
      </c>
      <c r="C65" s="14" t="s">
        <v>117</v>
      </c>
      <c r="D65" s="15"/>
      <c r="E65" s="16"/>
      <c r="F65" s="16"/>
      <c r="G65" s="17">
        <f>VLOOKUP(B65,'[1]Brokers'!$B$9:$H$67,7,0)</f>
        <v>0</v>
      </c>
      <c r="H65" s="17">
        <f>VLOOKUP(B65,'[1]Brokers'!$B$9:$X$67,23,0)</f>
        <v>0</v>
      </c>
      <c r="I65" s="17">
        <f>VLOOKUP(B65,'[2]Brokers'!$B$9:$R$67,17,0)</f>
        <v>0</v>
      </c>
      <c r="J65" s="17">
        <f>VLOOKUP(B65,'[1]Brokers'!$B$9:$M$67,12,0)</f>
        <v>0</v>
      </c>
      <c r="K65" s="17">
        <v>0</v>
      </c>
      <c r="L65" s="17">
        <v>0</v>
      </c>
      <c r="M65" s="18">
        <f t="shared" si="2"/>
        <v>0</v>
      </c>
      <c r="N65" s="31">
        <f>(VLOOKUP(B65,'[3]Sheet1'!$B$16:$N$74,13,0))+0</f>
        <v>0</v>
      </c>
      <c r="O65" s="34">
        <f t="shared" si="3"/>
        <v>0</v>
      </c>
      <c r="P65" s="36"/>
    </row>
    <row r="66" spans="1:17" ht="15">
      <c r="A66" s="12">
        <v>51</v>
      </c>
      <c r="B66" s="13" t="s">
        <v>118</v>
      </c>
      <c r="C66" s="14" t="s">
        <v>119</v>
      </c>
      <c r="D66" s="15"/>
      <c r="E66" s="16"/>
      <c r="F66" s="16"/>
      <c r="G66" s="17">
        <f>VLOOKUP(B66,'[1]Brokers'!$B$9:$H$67,7,0)</f>
        <v>0</v>
      </c>
      <c r="H66" s="17">
        <f>VLOOKUP(B66,'[1]Brokers'!$B$9:$X$67,23,0)</f>
        <v>0</v>
      </c>
      <c r="I66" s="17">
        <f>VLOOKUP(B66,'[2]Brokers'!$B$9:$R$67,17,0)</f>
        <v>0</v>
      </c>
      <c r="J66" s="17">
        <f>VLOOKUP(B66,'[1]Brokers'!$B$9:$M$67,12,0)</f>
        <v>0</v>
      </c>
      <c r="K66" s="17">
        <v>0</v>
      </c>
      <c r="L66" s="17">
        <v>0</v>
      </c>
      <c r="M66" s="18">
        <f t="shared" si="2"/>
        <v>0</v>
      </c>
      <c r="N66" s="31">
        <f>(VLOOKUP(B66,'[3]Sheet1'!$B$16:$N$74,13,0))+0</f>
        <v>0</v>
      </c>
      <c r="O66" s="34">
        <f t="shared" si="3"/>
        <v>0</v>
      </c>
      <c r="P66" s="36"/>
      <c r="Q66" s="21"/>
    </row>
    <row r="67" spans="1:16" ht="15">
      <c r="A67" s="12">
        <v>52</v>
      </c>
      <c r="B67" s="13" t="s">
        <v>110</v>
      </c>
      <c r="C67" s="14" t="s">
        <v>111</v>
      </c>
      <c r="D67" s="15"/>
      <c r="E67" s="16"/>
      <c r="F67" s="16"/>
      <c r="G67" s="17">
        <f>VLOOKUP(B67,'[1]Brokers'!$B$9:$H$67,7,0)</f>
        <v>0</v>
      </c>
      <c r="H67" s="17">
        <f>VLOOKUP(B67,'[1]Brokers'!$B$9:$X$67,23,0)</f>
        <v>0</v>
      </c>
      <c r="I67" s="17">
        <f>VLOOKUP(B67,'[2]Brokers'!$B$9:$R$67,17,0)</f>
        <v>0</v>
      </c>
      <c r="J67" s="17">
        <f>VLOOKUP(B67,'[1]Brokers'!$B$9:$M$67,12,0)</f>
        <v>0</v>
      </c>
      <c r="K67" s="17">
        <v>0</v>
      </c>
      <c r="L67" s="17">
        <v>0</v>
      </c>
      <c r="M67" s="18">
        <f t="shared" si="2"/>
        <v>0</v>
      </c>
      <c r="N67" s="31">
        <f>(VLOOKUP(B67,'[3]Sheet1'!$B$16:$N$74,13,0))+0</f>
        <v>0</v>
      </c>
      <c r="O67" s="34">
        <f t="shared" si="3"/>
        <v>0</v>
      </c>
      <c r="P67" s="36"/>
    </row>
    <row r="68" spans="1:16" ht="15">
      <c r="A68" s="12">
        <v>53</v>
      </c>
      <c r="B68" s="13" t="s">
        <v>71</v>
      </c>
      <c r="C68" s="14" t="s">
        <v>72</v>
      </c>
      <c r="D68" s="15" t="s">
        <v>14</v>
      </c>
      <c r="E68" s="16" t="s">
        <v>14</v>
      </c>
      <c r="F68" s="16"/>
      <c r="G68" s="17">
        <f>VLOOKUP(B68,'[1]Brokers'!$B$9:$H$67,7,0)</f>
        <v>0</v>
      </c>
      <c r="H68" s="17">
        <f>VLOOKUP(B68,'[1]Brokers'!$B$9:$X$67,23,0)</f>
        <v>0</v>
      </c>
      <c r="I68" s="17">
        <f>VLOOKUP(B68,'[2]Brokers'!$B$9:$R$67,17,0)</f>
        <v>0</v>
      </c>
      <c r="J68" s="17">
        <f>VLOOKUP(B68,'[1]Brokers'!$B$9:$M$67,12,0)</f>
        <v>0</v>
      </c>
      <c r="K68" s="17">
        <v>0</v>
      </c>
      <c r="L68" s="17">
        <v>0</v>
      </c>
      <c r="M68" s="18">
        <f t="shared" si="2"/>
        <v>0</v>
      </c>
      <c r="N68" s="31">
        <f>(VLOOKUP(B68,'[3]Sheet1'!$B$16:$N$74,13,0))+0</f>
        <v>0</v>
      </c>
      <c r="O68" s="34">
        <f t="shared" si="3"/>
        <v>0</v>
      </c>
      <c r="P68" s="36"/>
    </row>
    <row r="69" spans="1:16" ht="15">
      <c r="A69" s="12">
        <v>54</v>
      </c>
      <c r="B69" s="13" t="s">
        <v>92</v>
      </c>
      <c r="C69" s="14" t="s">
        <v>93</v>
      </c>
      <c r="D69" s="15" t="s">
        <v>14</v>
      </c>
      <c r="E69" s="16" t="s">
        <v>14</v>
      </c>
      <c r="F69" s="16" t="s">
        <v>14</v>
      </c>
      <c r="G69" s="17">
        <f>VLOOKUP(B69,'[1]Brokers'!$B$9:$H$67,7,0)</f>
        <v>0</v>
      </c>
      <c r="H69" s="17">
        <f>VLOOKUP(B69,'[1]Brokers'!$B$9:$X$67,23,0)</f>
        <v>0</v>
      </c>
      <c r="I69" s="17">
        <f>VLOOKUP(B69,'[2]Brokers'!$B$9:$R$67,17,0)</f>
        <v>0</v>
      </c>
      <c r="J69" s="17">
        <f>VLOOKUP(B69,'[1]Brokers'!$B$9:$M$67,12,0)</f>
        <v>0</v>
      </c>
      <c r="K69" s="17">
        <v>0</v>
      </c>
      <c r="L69" s="17">
        <v>0</v>
      </c>
      <c r="M69" s="18">
        <f t="shared" si="2"/>
        <v>0</v>
      </c>
      <c r="N69" s="31">
        <f>(VLOOKUP(B69,'[3]Sheet1'!$B$16:$N$74,13,0))+0</f>
        <v>0</v>
      </c>
      <c r="O69" s="34">
        <f t="shared" si="3"/>
        <v>0</v>
      </c>
      <c r="P69" s="36"/>
    </row>
    <row r="70" spans="1:16" ht="1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>
        <f>VLOOKUP(B70,'[1]Brokers'!$B$9:$H$67,7,0)</f>
        <v>0</v>
      </c>
      <c r="H70" s="17">
        <f>VLOOKUP(B70,'[1]Brokers'!$B$9:$X$67,23,0)</f>
        <v>0</v>
      </c>
      <c r="I70" s="17">
        <f>VLOOKUP(B70,'[2]Brokers'!$B$9:$R$67,17,0)</f>
        <v>0</v>
      </c>
      <c r="J70" s="17">
        <f>VLOOKUP(B70,'[1]Brokers'!$B$9:$M$67,12,0)</f>
        <v>0</v>
      </c>
      <c r="K70" s="17">
        <v>0</v>
      </c>
      <c r="L70" s="17">
        <v>0</v>
      </c>
      <c r="M70" s="18">
        <f t="shared" si="2"/>
        <v>0</v>
      </c>
      <c r="N70" s="31">
        <f>(VLOOKUP(B70,'[3]Sheet1'!$B$16:$N$74,13,0))+0</f>
        <v>0</v>
      </c>
      <c r="O70" s="34">
        <f t="shared" si="3"/>
        <v>0</v>
      </c>
      <c r="P70" s="36"/>
    </row>
    <row r="71" spans="1:16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VLOOKUP(B71,'[1]Brokers'!$B$9:$H$67,7,0)</f>
        <v>0</v>
      </c>
      <c r="H71" s="17">
        <f>VLOOKUP(B71,'[1]Brokers'!$B$9:$X$67,23,0)</f>
        <v>0</v>
      </c>
      <c r="I71" s="17">
        <f>VLOOKUP(B71,'[2]Brokers'!$B$9:$R$67,17,0)</f>
        <v>0</v>
      </c>
      <c r="J71" s="17">
        <f>VLOOKUP(B71,'[1]Brokers'!$B$9:$M$67,12,0)</f>
        <v>0</v>
      </c>
      <c r="K71" s="17">
        <v>0</v>
      </c>
      <c r="L71" s="17">
        <v>0</v>
      </c>
      <c r="M71" s="18">
        <f t="shared" si="2"/>
        <v>0</v>
      </c>
      <c r="N71" s="31">
        <f>(VLOOKUP(B71,'[3]Sheet1'!$B$16:$N$74,13,0))+0</f>
        <v>0</v>
      </c>
      <c r="O71" s="34">
        <f t="shared" si="3"/>
        <v>0</v>
      </c>
      <c r="P71" s="36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VLOOKUP(B72,'[1]Brokers'!$B$9:$H$67,7,0)</f>
        <v>0</v>
      </c>
      <c r="H72" s="17">
        <f>VLOOKUP(B72,'[1]Brokers'!$B$9:$X$67,23,0)</f>
        <v>0</v>
      </c>
      <c r="I72" s="17">
        <f>VLOOKUP(B72,'[2]Brokers'!$B$9:$R$67,17,0)</f>
        <v>0</v>
      </c>
      <c r="J72" s="17">
        <f>VLOOKUP(B72,'[1]Brokers'!$B$9:$M$67,12,0)</f>
        <v>0</v>
      </c>
      <c r="K72" s="17">
        <v>0</v>
      </c>
      <c r="L72" s="17">
        <v>0</v>
      </c>
      <c r="M72" s="18">
        <f t="shared" si="2"/>
        <v>0</v>
      </c>
      <c r="N72" s="31">
        <f>(VLOOKUP(B72,'[3]Sheet1'!$B$16:$N$74,13,0))+0</f>
        <v>0</v>
      </c>
      <c r="O72" s="34">
        <f t="shared" si="3"/>
        <v>0</v>
      </c>
      <c r="P72" s="36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VLOOKUP(B73,'[1]Brokers'!$B$9:$H$67,7,0)</f>
        <v>0</v>
      </c>
      <c r="H73" s="17">
        <f>VLOOKUP(B73,'[1]Brokers'!$B$9:$X$67,23,0)</f>
        <v>0</v>
      </c>
      <c r="I73" s="17">
        <f>VLOOKUP(B73,'[2]Brokers'!$B$9:$R$67,17,0)</f>
        <v>0</v>
      </c>
      <c r="J73" s="17">
        <f>VLOOKUP(B73,'[1]Brokers'!$B$9:$M$67,12,0)</f>
        <v>0</v>
      </c>
      <c r="K73" s="17">
        <v>0</v>
      </c>
      <c r="L73" s="17">
        <v>0</v>
      </c>
      <c r="M73" s="18">
        <f t="shared" si="2"/>
        <v>0</v>
      </c>
      <c r="N73" s="31">
        <f>(VLOOKUP(B73,'[3]Sheet1'!$B$16:$N$74,13,0))+0</f>
        <v>0</v>
      </c>
      <c r="O73" s="34">
        <f t="shared" si="3"/>
        <v>0</v>
      </c>
      <c r="P73" s="36"/>
      <c r="Q73" s="21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VLOOKUP(B74,'[1]Brokers'!$B$9:$H$67,7,0)</f>
        <v>0</v>
      </c>
      <c r="H74" s="17">
        <f>VLOOKUP(B74,'[1]Brokers'!$B$9:$X$67,23,0)</f>
        <v>0</v>
      </c>
      <c r="I74" s="17">
        <f>VLOOKUP(B74,'[2]Brokers'!$B$9:$R$67,17,0)</f>
        <v>0</v>
      </c>
      <c r="J74" s="17">
        <f>VLOOKUP(B74,'[1]Brokers'!$B$9:$M$67,12,0)</f>
        <v>0</v>
      </c>
      <c r="K74" s="17">
        <v>0</v>
      </c>
      <c r="L74" s="17">
        <v>0</v>
      </c>
      <c r="M74" s="18">
        <f t="shared" si="2"/>
        <v>0</v>
      </c>
      <c r="N74" s="31">
        <f>(VLOOKUP(B74,'[3]Sheet1'!$B$16:$N$74,13,0))+0</f>
        <v>0</v>
      </c>
      <c r="O74" s="34">
        <f t="shared" si="3"/>
        <v>0</v>
      </c>
      <c r="P74" s="36"/>
      <c r="Q74" s="21"/>
    </row>
    <row r="75" spans="1:17" ht="16.5" thickBot="1">
      <c r="A75" s="41" t="s">
        <v>6</v>
      </c>
      <c r="B75" s="42"/>
      <c r="C75" s="43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7781368991.799998</v>
      </c>
      <c r="H75" s="23">
        <f>SUM(H16:H74)</f>
        <v>608613040</v>
      </c>
      <c r="I75" s="23">
        <f>SUM(I16:I74)</f>
        <v>0</v>
      </c>
      <c r="J75" s="23">
        <f>SUM(J16:J74)</f>
        <v>32972758400</v>
      </c>
      <c r="K75" s="23">
        <f aca="true" t="shared" si="4" ref="K75">SUM(K16:K74)</f>
        <v>0</v>
      </c>
      <c r="L75" s="23">
        <f>SUM(L16:L74)</f>
        <v>0</v>
      </c>
      <c r="M75" s="23">
        <f>SUM(M16:M74)</f>
        <v>41362740431.8</v>
      </c>
      <c r="N75" s="32">
        <f>SUM(N16:N74)</f>
        <v>211936145311.81998</v>
      </c>
      <c r="O75" s="33">
        <f>SUM(O16:O74)</f>
        <v>1.0000000000000002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56" t="s">
        <v>128</v>
      </c>
      <c r="C77" s="56"/>
      <c r="D77" s="56"/>
      <c r="E77" s="56"/>
      <c r="F77" s="56"/>
      <c r="H77" s="27"/>
      <c r="I77" s="27"/>
      <c r="L77" s="25"/>
      <c r="M77" s="25"/>
      <c r="P77" s="24"/>
      <c r="Q77" s="21"/>
    </row>
    <row r="78" spans="3:17" ht="27.6" customHeight="1">
      <c r="C78" s="57"/>
      <c r="D78" s="57"/>
      <c r="E78" s="57"/>
      <c r="F78" s="57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USR0103</cp:lastModifiedBy>
  <cp:lastPrinted>2018-10-10T01:57:26Z</cp:lastPrinted>
  <dcterms:created xsi:type="dcterms:W3CDTF">2017-06-09T07:51:20Z</dcterms:created>
  <dcterms:modified xsi:type="dcterms:W3CDTF">2019-01-29T09:19:33Z</dcterms:modified>
  <cp:category/>
  <cp:version/>
  <cp:contentType/>
  <cp:contentStatus/>
</cp:coreProperties>
</file>