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'Sheet1'!$A$1:$O$81</definedName>
  </definedNames>
  <calcPr calcId="152511"/>
</workbook>
</file>

<file path=xl/sharedStrings.xml><?xml version="1.0" encoding="utf-8"?>
<sst xmlns="http://schemas.openxmlformats.org/spreadsheetml/2006/main" count="239" uniqueCount="143">
  <si>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</si>
  <si>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</si>
  <si>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</si>
  <si>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</si>
  <si>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</si>
  <si>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</si>
  <si>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</si>
  <si>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</si>
  <si>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</si>
  <si>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</si>
  <si>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</si>
  <si>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</si>
  <si>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</si>
  <si>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</si>
  <si>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</si>
  <si>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</si>
  <si>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</si>
  <si>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</si>
  <si>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</si>
  <si>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</si>
  <si>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</si>
  <si>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</si>
  <si>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</si>
  <si>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</si>
  <si>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</si>
  <si>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</si>
  <si>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</si>
  <si>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</si>
  <si>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</si>
  <si>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</si>
  <si>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</si>
  <si>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</si>
  <si>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</si>
  <si>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</si>
  <si>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</si>
  <si>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</si>
  <si>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</si>
  <si>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</si>
  <si>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</si>
  <si>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</si>
  <si>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</si>
  <si>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</si>
  <si>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</si>
  <si>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</si>
  <si>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</si>
  <si>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</si>
  <si>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</si>
  <si>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</si>
  <si>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</si>
  <si>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</si>
  <si>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</si>
  <si>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</si>
  <si>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</si>
  <si>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</si>
  <si>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</si>
  <si>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</si>
  <si>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</si>
  <si>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</si>
  <si>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</si>
  <si>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</si>
  <si>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</si>
  <si>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</si>
  <si>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</si>
  <si>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</si>
  <si>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</si>
  <si>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</si>
  <si>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</si>
  <si>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</si>
  <si>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</si>
  <si>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</si>
  <si>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</si>
  <si>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</si>
  <si>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</si>
  <si>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</si>
  <si>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</si>
  <si>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</si>
  <si>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</si>
  <si>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</si>
  <si>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</si>
  <si>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</si>
  <si>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</si>
  <si>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</si>
  <si>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</si>
  <si>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</si>
  <si>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</si>
  <si>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</si>
  <si>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</si>
  <si>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</si>
  <si>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</si>
  <si>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</si>
  <si>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</si>
  <si>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</si>
  <si>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</si>
  <si>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</si>
  <si>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</si>
  <si>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</si>
  <si>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</si>
  <si>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</si>
  <si>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</si>
  <si>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</si>
  <si>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GNN</t>
  </si>
  <si>
    <t>ГОВИЙН НОЁН НУРУУ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</si>
  <si>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</si>
  <si>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</si>
  <si>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</si>
  <si>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</si>
  <si>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</si>
  <si>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</si>
  <si>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</si>
  <si>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</si>
  <si>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</si>
  <si>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</si>
  <si>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</si>
  <si>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</si>
  <si>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</si>
  <si>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</si>
  <si>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BBSS</t>
  </si>
  <si>
    <t>БИ БИ ЭС ЭС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</si>
  <si>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</si>
  <si>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</si>
  <si>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</si>
  <si>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</si>
  <si>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</si>
  <si>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</si>
  <si>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</si>
  <si>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</si>
  <si>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</si>
  <si>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</si>
  <si>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</si>
  <si>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</si>
  <si>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2018 оны арилжааны нийт дүн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</si>
  <si>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</si>
  <si>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</si>
  <si>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</si>
  <si>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</si>
  <si>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</si>
  <si>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</si>
  <si>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11-р сарын арилжааны дүн</t>
  </si>
  <si>
    <t xml:space="preserve">2018 оны 11 дүгээр сарын 30-ны байдлаар </t>
  </si>
  <si>
    <t>CTRL</t>
  </si>
  <si>
    <t>INVC</t>
  </si>
  <si>
    <t>ЦЕНТРАЛ СЕКЬЮРИТИЙЗ ҮЦК</t>
  </si>
  <si>
    <t>ИНВЕСКОР КАПИТАЛ ҮЦК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</si>
</sst>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74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7" fillId="2" borderId="3" xfId="18" applyFont="1" applyFill="1" applyBorder="1" applyAlignment="1">
      <alignment vertical="center" wrapText="1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2" fillId="4" borderId="1" xfId="18" applyFont="1" applyFill="1" applyBorder="1" applyAlignment="1">
      <alignment horizontal="center" vertical="center"/>
    </xf>
    <xf numFmtId="43" fontId="8" fillId="4" borderId="4" xfId="18" applyFont="1" applyFill="1" applyBorder="1" applyAlignment="1">
      <alignment horizontal="center" vertical="center"/>
    </xf>
    <xf numFmtId="9" fontId="8" fillId="4" borderId="4" xfId="15" applyFont="1" applyFill="1" applyBorder="1" applyAlignment="1">
      <alignment horizontal="center" vertical="center"/>
    </xf>
    <xf numFmtId="165" fontId="2" fillId="4" borderId="6" xfId="15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vertical="top"/>
    </xf>
    <xf numFmtId="0" fontId="2" fillId="3" borderId="5" xfId="0" applyFont="1" applyFill="1" applyBorder="1" applyAlignment="1">
      <alignment horizontal="center" vertical="center" wrapText="1"/>
    </xf>
    <xf numFmtId="43" fontId="2" fillId="2" borderId="5" xfId="18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37385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81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103.MSE\Downloads\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M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600</v>
          </cell>
          <cell r="E10">
            <v>1140000</v>
          </cell>
          <cell r="F10">
            <v>17</v>
          </cell>
          <cell r="G10">
            <v>561000</v>
          </cell>
          <cell r="H10">
            <v>1701000</v>
          </cell>
          <cell r="M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M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21792175</v>
          </cell>
          <cell r="E12">
            <v>1196196722.86</v>
          </cell>
          <cell r="F12">
            <v>21655401</v>
          </cell>
          <cell r="G12">
            <v>1103473321.34</v>
          </cell>
          <cell r="H12">
            <v>2299670044.2</v>
          </cell>
          <cell r="M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M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151996</v>
          </cell>
          <cell r="E14">
            <v>12410410</v>
          </cell>
          <cell r="F14">
            <v>20909</v>
          </cell>
          <cell r="G14">
            <v>14344032</v>
          </cell>
          <cell r="H14">
            <v>26754442</v>
          </cell>
          <cell r="M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B15" t="str">
            <v>BBSS</v>
          </cell>
          <cell r="C15" t="str">
            <v>Би Би Эс Эс ХХК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M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B16" t="str">
            <v>BDSC</v>
          </cell>
          <cell r="C16" t="str">
            <v>БиДиСек ХК</v>
          </cell>
          <cell r="D16">
            <v>1895502</v>
          </cell>
          <cell r="E16">
            <v>155051800.71</v>
          </cell>
          <cell r="F16">
            <v>1946554</v>
          </cell>
          <cell r="G16">
            <v>437295932.45</v>
          </cell>
          <cell r="H16">
            <v>592347733.16</v>
          </cell>
          <cell r="M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B17" t="str">
            <v>BKHE</v>
          </cell>
          <cell r="C17" t="str">
            <v>Бага хээр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M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B18" t="str">
            <v>BLAC</v>
          </cell>
          <cell r="C18" t="str">
            <v>Блэкстоун интернэйшнл ХХК</v>
          </cell>
          <cell r="D18">
            <v>613</v>
          </cell>
          <cell r="E18">
            <v>2967840</v>
          </cell>
          <cell r="F18">
            <v>0</v>
          </cell>
          <cell r="G18">
            <v>0</v>
          </cell>
          <cell r="H18">
            <v>2967840</v>
          </cell>
          <cell r="M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19">
          <cell r="B19" t="str">
            <v>BLMB</v>
          </cell>
          <cell r="C19" t="str">
            <v>Блүмсбюри секюритиес ХХК</v>
          </cell>
          <cell r="D19">
            <v>6765</v>
          </cell>
          <cell r="E19">
            <v>5677687</v>
          </cell>
          <cell r="F19">
            <v>41924</v>
          </cell>
          <cell r="G19">
            <v>20062666.89</v>
          </cell>
          <cell r="H19">
            <v>25740353.89</v>
          </cell>
          <cell r="M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B20" t="str">
            <v>BSK</v>
          </cell>
          <cell r="C20" t="str">
            <v>BLUE SKY</v>
          </cell>
          <cell r="D20">
            <v>0</v>
          </cell>
          <cell r="E20">
            <v>0</v>
          </cell>
          <cell r="F20">
            <v>192</v>
          </cell>
          <cell r="G20">
            <v>480181</v>
          </cell>
          <cell r="H20">
            <v>480181</v>
          </cell>
          <cell r="M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</row>
        <row r="21">
          <cell r="B21" t="str">
            <v>BULG</v>
          </cell>
          <cell r="C21" t="str">
            <v>Булган брокер ХХК</v>
          </cell>
          <cell r="D21">
            <v>1033</v>
          </cell>
          <cell r="E21">
            <v>3945805</v>
          </cell>
          <cell r="F21">
            <v>179</v>
          </cell>
          <cell r="G21">
            <v>126326</v>
          </cell>
          <cell r="H21">
            <v>4072131</v>
          </cell>
          <cell r="M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</row>
        <row r="22">
          <cell r="B22" t="str">
            <v>BUMB</v>
          </cell>
          <cell r="C22" t="str">
            <v>Бумбат-Алтай ХХК</v>
          </cell>
          <cell r="D22">
            <v>716944</v>
          </cell>
          <cell r="E22">
            <v>246141420.88</v>
          </cell>
          <cell r="F22">
            <v>378502</v>
          </cell>
          <cell r="G22">
            <v>106144536.7</v>
          </cell>
          <cell r="H22">
            <v>352285957.58</v>
          </cell>
          <cell r="M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B23" t="str">
            <v>BZIN</v>
          </cell>
          <cell r="C23" t="str">
            <v>Мирэ Эссет Секьюритис Монгол ХХК</v>
          </cell>
          <cell r="D23">
            <v>2967819</v>
          </cell>
          <cell r="E23">
            <v>235070028</v>
          </cell>
          <cell r="F23">
            <v>3220456</v>
          </cell>
          <cell r="G23">
            <v>239209583.44</v>
          </cell>
          <cell r="H23">
            <v>474279611.44</v>
          </cell>
          <cell r="M23">
            <v>0</v>
          </cell>
          <cell r="T23">
            <v>7858</v>
          </cell>
          <cell r="U23">
            <v>834705020</v>
          </cell>
          <cell r="V23">
            <v>7858</v>
          </cell>
          <cell r="W23">
            <v>834705020</v>
          </cell>
          <cell r="X23">
            <v>1669410040</v>
          </cell>
        </row>
        <row r="24">
          <cell r="B24" t="str">
            <v>CAPM</v>
          </cell>
          <cell r="C24" t="str">
            <v>Капитал маркет корпораци ХХК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M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</row>
        <row r="25">
          <cell r="B25" t="str">
            <v>CTRL</v>
          </cell>
          <cell r="C25" t="str">
            <v>Централ секьюритийз ҮЦК</v>
          </cell>
          <cell r="D25">
            <v>200</v>
          </cell>
          <cell r="E25">
            <v>113500</v>
          </cell>
          <cell r="F25">
            <v>0</v>
          </cell>
          <cell r="G25">
            <v>0</v>
          </cell>
          <cell r="H25">
            <v>113500</v>
          </cell>
          <cell r="M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B26" t="str">
            <v>DCF</v>
          </cell>
          <cell r="C26" t="str">
            <v>Ди Си Эф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M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B27" t="str">
            <v>DELG</v>
          </cell>
          <cell r="C27" t="str">
            <v>Дэлгэрхангай секюритиз ХХК</v>
          </cell>
          <cell r="D27">
            <v>4</v>
          </cell>
          <cell r="E27">
            <v>70000</v>
          </cell>
          <cell r="F27">
            <v>103183</v>
          </cell>
          <cell r="G27">
            <v>26555636.9</v>
          </cell>
          <cell r="H27">
            <v>26625636.9</v>
          </cell>
          <cell r="M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B28" t="str">
            <v>DGSN</v>
          </cell>
          <cell r="C28" t="str">
            <v>Догсон ХХК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M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396</v>
          </cell>
          <cell r="E29">
            <v>278595</v>
          </cell>
          <cell r="F29">
            <v>7309</v>
          </cell>
          <cell r="G29">
            <v>1139931.3</v>
          </cell>
          <cell r="H29">
            <v>1418526.3</v>
          </cell>
          <cell r="M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6649</v>
          </cell>
          <cell r="G30">
            <v>3165983</v>
          </cell>
          <cell r="H30">
            <v>3165983</v>
          </cell>
          <cell r="M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M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M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B33" t="str">
            <v>FRON</v>
          </cell>
          <cell r="C33" t="str">
            <v>Фронтиер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M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B34" t="str">
            <v>GATR</v>
          </cell>
          <cell r="C34" t="str">
            <v>Гацуурт трейд ХХК</v>
          </cell>
          <cell r="D34">
            <v>390</v>
          </cell>
          <cell r="E34">
            <v>549900</v>
          </cell>
          <cell r="F34">
            <v>0</v>
          </cell>
          <cell r="G34">
            <v>0</v>
          </cell>
          <cell r="H34">
            <v>549900</v>
          </cell>
          <cell r="M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B35" t="str">
            <v>GAUL</v>
          </cell>
          <cell r="C35" t="str">
            <v>Гаүли ХХК</v>
          </cell>
          <cell r="D35">
            <v>299546</v>
          </cell>
          <cell r="E35">
            <v>89922278.53</v>
          </cell>
          <cell r="F35">
            <v>103717</v>
          </cell>
          <cell r="G35">
            <v>44581004.05</v>
          </cell>
          <cell r="H35">
            <v>134503282.57999998</v>
          </cell>
          <cell r="M35">
            <v>0</v>
          </cell>
          <cell r="T35">
            <v>171</v>
          </cell>
          <cell r="U35">
            <v>17315800</v>
          </cell>
          <cell r="V35">
            <v>171</v>
          </cell>
          <cell r="W35">
            <v>17315800</v>
          </cell>
          <cell r="X35">
            <v>34631600</v>
          </cell>
        </row>
        <row r="36">
          <cell r="B36" t="str">
            <v>GDEV</v>
          </cell>
          <cell r="C36" t="str">
            <v>Гранддевелопмент ХХК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M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B37" t="str">
            <v>GDSC</v>
          </cell>
          <cell r="C37" t="str">
            <v>Гүүдсек ХХК</v>
          </cell>
          <cell r="D37">
            <v>1801</v>
          </cell>
          <cell r="E37">
            <v>577586.5</v>
          </cell>
          <cell r="F37">
            <v>22172</v>
          </cell>
          <cell r="G37">
            <v>12614110</v>
          </cell>
          <cell r="H37">
            <v>13191696.5</v>
          </cell>
          <cell r="M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B38" t="str">
            <v>GLMT</v>
          </cell>
          <cell r="C38" t="str">
            <v>Голомт Капитал ХХК</v>
          </cell>
          <cell r="D38">
            <v>1067935</v>
          </cell>
          <cell r="E38">
            <v>541281017.38</v>
          </cell>
          <cell r="F38">
            <v>370906</v>
          </cell>
          <cell r="G38">
            <v>203349370.6</v>
          </cell>
          <cell r="H38">
            <v>744630387.98</v>
          </cell>
          <cell r="M38">
            <v>0</v>
          </cell>
          <cell r="T38">
            <v>281</v>
          </cell>
          <cell r="U38">
            <v>28577700</v>
          </cell>
          <cell r="V38">
            <v>281</v>
          </cell>
          <cell r="W38">
            <v>28577700</v>
          </cell>
          <cell r="X38">
            <v>57155400</v>
          </cell>
        </row>
        <row r="39">
          <cell r="B39" t="str">
            <v>GNDX</v>
          </cell>
          <cell r="C39" t="str">
            <v>Гендекс ХХК</v>
          </cell>
          <cell r="D39">
            <v>1956</v>
          </cell>
          <cell r="E39">
            <v>1161686</v>
          </cell>
          <cell r="F39">
            <v>0</v>
          </cell>
          <cell r="G39">
            <v>0</v>
          </cell>
          <cell r="H39">
            <v>1161686</v>
          </cell>
          <cell r="M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B40" t="str">
            <v>GNN</v>
          </cell>
          <cell r="C40" t="str">
            <v>ГОВИЙН НОЁН НУРУУ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M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B41" t="str">
            <v>HUN</v>
          </cell>
          <cell r="C41" t="str">
            <v>Хүннү Эмпайр ХХК</v>
          </cell>
          <cell r="D41">
            <v>21589</v>
          </cell>
          <cell r="E41">
            <v>4814300</v>
          </cell>
          <cell r="F41">
            <v>471</v>
          </cell>
          <cell r="G41">
            <v>3178590</v>
          </cell>
          <cell r="H41">
            <v>7992890</v>
          </cell>
          <cell r="M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B42" t="str">
            <v>INVC</v>
          </cell>
          <cell r="C42" t="str">
            <v>Инвескор капитал ҮЦК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M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B43" t="str">
            <v>ITR</v>
          </cell>
          <cell r="C43" t="str">
            <v>Ай трейд ХХК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M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B44" t="str">
            <v>LFTI</v>
          </cell>
          <cell r="C44" t="str">
            <v>Лайфтайм инвестмент ХХК</v>
          </cell>
          <cell r="D44">
            <v>7916</v>
          </cell>
          <cell r="E44">
            <v>20527250</v>
          </cell>
          <cell r="F44">
            <v>0</v>
          </cell>
          <cell r="G44">
            <v>0</v>
          </cell>
          <cell r="H44">
            <v>20527250</v>
          </cell>
          <cell r="M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B45" t="str">
            <v>MERG</v>
          </cell>
          <cell r="C45" t="str">
            <v>Мэргэн санаа ХХК</v>
          </cell>
          <cell r="D45">
            <v>23</v>
          </cell>
          <cell r="E45">
            <v>6940</v>
          </cell>
          <cell r="F45">
            <v>1189</v>
          </cell>
          <cell r="G45">
            <v>1995775</v>
          </cell>
          <cell r="H45">
            <v>2002715</v>
          </cell>
          <cell r="M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</row>
        <row r="46">
          <cell r="B46" t="str">
            <v>MIBG</v>
          </cell>
          <cell r="C46" t="str">
            <v>Эм Ай Би Жи ХХК</v>
          </cell>
          <cell r="D46">
            <v>2962</v>
          </cell>
          <cell r="E46">
            <v>6526260</v>
          </cell>
          <cell r="F46">
            <v>75875</v>
          </cell>
          <cell r="G46">
            <v>22330177.5</v>
          </cell>
          <cell r="H46">
            <v>28856437.5</v>
          </cell>
          <cell r="M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B47" t="str">
            <v>MICC</v>
          </cell>
          <cell r="C47" t="str">
            <v>Эм Ай Си Си ХХК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M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</row>
        <row r="48">
          <cell r="B48" t="str">
            <v>MNET</v>
          </cell>
          <cell r="C48" t="str">
            <v>Ард секюритиз ХХК</v>
          </cell>
          <cell r="D48">
            <v>569708</v>
          </cell>
          <cell r="E48">
            <v>412157528.47</v>
          </cell>
          <cell r="F48">
            <v>349014</v>
          </cell>
          <cell r="G48">
            <v>239165152.18</v>
          </cell>
          <cell r="H48">
            <v>651322680.6500001</v>
          </cell>
          <cell r="M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B49" t="str">
            <v>MONG</v>
          </cell>
          <cell r="C49" t="str">
            <v>Монгол секюритиес ХК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M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B50" t="str">
            <v>MSDQ</v>
          </cell>
          <cell r="C50" t="str">
            <v>Масдак ХХК</v>
          </cell>
          <cell r="D50">
            <v>2156</v>
          </cell>
          <cell r="E50">
            <v>1665520</v>
          </cell>
          <cell r="F50">
            <v>13482</v>
          </cell>
          <cell r="G50">
            <v>1514382</v>
          </cell>
          <cell r="H50">
            <v>3179902</v>
          </cell>
          <cell r="M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B51" t="str">
            <v>MSEC</v>
          </cell>
          <cell r="C51" t="str">
            <v>Монсек ХХК</v>
          </cell>
          <cell r="D51">
            <v>14495</v>
          </cell>
          <cell r="E51">
            <v>15750193.8</v>
          </cell>
          <cell r="F51">
            <v>59414</v>
          </cell>
          <cell r="G51">
            <v>34567273.5</v>
          </cell>
          <cell r="H51">
            <v>50317467.3</v>
          </cell>
          <cell r="M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B52" t="str">
            <v>MWTS</v>
          </cell>
          <cell r="C52" t="str">
            <v>Эм Даблью Ти Эс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M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B53" t="str">
            <v>NOVL</v>
          </cell>
          <cell r="C53" t="str">
            <v>Новел инвестмент ХХК</v>
          </cell>
          <cell r="D53">
            <v>1393781</v>
          </cell>
          <cell r="E53">
            <v>117124162.56</v>
          </cell>
          <cell r="F53">
            <v>1516923</v>
          </cell>
          <cell r="G53">
            <v>247650840</v>
          </cell>
          <cell r="H53">
            <v>364775002.56</v>
          </cell>
          <cell r="M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B54" t="str">
            <v>NSEC</v>
          </cell>
          <cell r="C54" t="str">
            <v>Нэйшнл сэкюритис ХХК</v>
          </cell>
          <cell r="D54">
            <v>1943</v>
          </cell>
          <cell r="E54">
            <v>45542600</v>
          </cell>
          <cell r="F54">
            <v>1653</v>
          </cell>
          <cell r="G54">
            <v>613075</v>
          </cell>
          <cell r="H54">
            <v>46155675</v>
          </cell>
          <cell r="M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B55" t="str">
            <v>PREV</v>
          </cell>
          <cell r="C55" t="str">
            <v>Превалент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M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B56" t="str">
            <v>SANR</v>
          </cell>
          <cell r="C56" t="str">
            <v>Санар ХХК</v>
          </cell>
          <cell r="D56">
            <v>2619</v>
          </cell>
          <cell r="E56">
            <v>855350</v>
          </cell>
          <cell r="F56">
            <v>283735</v>
          </cell>
          <cell r="G56">
            <v>168173518</v>
          </cell>
          <cell r="H56">
            <v>169028868</v>
          </cell>
          <cell r="M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</row>
        <row r="57">
          <cell r="B57" t="str">
            <v>SECP</v>
          </cell>
          <cell r="C57" t="str">
            <v>СИКАП</v>
          </cell>
          <cell r="D57">
            <v>50</v>
          </cell>
          <cell r="E57">
            <v>395000</v>
          </cell>
          <cell r="F57">
            <v>0</v>
          </cell>
          <cell r="G57">
            <v>0</v>
          </cell>
          <cell r="H57">
            <v>395000</v>
          </cell>
          <cell r="M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B58" t="str">
            <v>SGC</v>
          </cell>
          <cell r="C58" t="str">
            <v>Эс Жи Капитал ХХК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M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B59" t="str">
            <v>SILS</v>
          </cell>
          <cell r="C59" t="str">
            <v>Силвэр лайт секюритиз ҮЦК</v>
          </cell>
          <cell r="D59">
            <v>458</v>
          </cell>
          <cell r="E59">
            <v>350840</v>
          </cell>
          <cell r="F59">
            <v>6999</v>
          </cell>
          <cell r="G59">
            <v>5765381</v>
          </cell>
          <cell r="H59">
            <v>6116221</v>
          </cell>
          <cell r="M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</row>
        <row r="60">
          <cell r="B60" t="str">
            <v>STIN</v>
          </cell>
          <cell r="C60" t="str">
            <v>Стандарт инвестмент ХХК</v>
          </cell>
          <cell r="D60">
            <v>628105</v>
          </cell>
          <cell r="E60">
            <v>128013074.78</v>
          </cell>
          <cell r="F60">
            <v>1198307</v>
          </cell>
          <cell r="G60">
            <v>241435301.57</v>
          </cell>
          <cell r="H60">
            <v>369448376.35</v>
          </cell>
          <cell r="M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</row>
        <row r="61">
          <cell r="B61" t="str">
            <v>TABO</v>
          </cell>
          <cell r="C61" t="str">
            <v>Таван богд ХХК</v>
          </cell>
          <cell r="D61">
            <v>347</v>
          </cell>
          <cell r="E61">
            <v>592620</v>
          </cell>
          <cell r="F61">
            <v>766</v>
          </cell>
          <cell r="G61">
            <v>14229322</v>
          </cell>
          <cell r="H61">
            <v>14821942</v>
          </cell>
          <cell r="M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B62" t="str">
            <v>TCHB</v>
          </cell>
          <cell r="C62" t="str">
            <v>Тулгат чандмань баян ХХК</v>
          </cell>
          <cell r="D62">
            <v>1761</v>
          </cell>
          <cell r="E62">
            <v>5329435.67</v>
          </cell>
          <cell r="F62">
            <v>6411</v>
          </cell>
          <cell r="G62">
            <v>3779600</v>
          </cell>
          <cell r="H62">
            <v>9109035.67</v>
          </cell>
          <cell r="M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</row>
        <row r="63">
          <cell r="B63" t="str">
            <v>TDB</v>
          </cell>
          <cell r="C63" t="str">
            <v>Ти Ди Би Капитал ХХК</v>
          </cell>
          <cell r="D63">
            <v>575804</v>
          </cell>
          <cell r="E63">
            <v>171635788.44</v>
          </cell>
          <cell r="F63">
            <v>732722</v>
          </cell>
          <cell r="G63">
            <v>161187449.53</v>
          </cell>
          <cell r="H63">
            <v>332823237.97</v>
          </cell>
          <cell r="I63">
            <v>6000000</v>
          </cell>
          <cell r="J63">
            <v>1020000000</v>
          </cell>
          <cell r="K63">
            <v>6000000</v>
          </cell>
          <cell r="L63">
            <v>1020000000</v>
          </cell>
          <cell r="M63">
            <v>2040000000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</row>
        <row r="64">
          <cell r="B64" t="str">
            <v>TNGR</v>
          </cell>
          <cell r="C64" t="str">
            <v>Тэнгэр капитал ХХК</v>
          </cell>
          <cell r="D64">
            <v>23090</v>
          </cell>
          <cell r="E64">
            <v>6286823</v>
          </cell>
          <cell r="F64">
            <v>8922</v>
          </cell>
          <cell r="G64">
            <v>4498617</v>
          </cell>
          <cell r="H64">
            <v>10785440</v>
          </cell>
          <cell r="M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B65" t="str">
            <v>TTOL</v>
          </cell>
          <cell r="C65" t="str">
            <v>Апекс капитал ҮЦК ХХК</v>
          </cell>
          <cell r="D65">
            <v>61783</v>
          </cell>
          <cell r="E65">
            <v>44309287</v>
          </cell>
          <cell r="F65">
            <v>75240</v>
          </cell>
          <cell r="G65">
            <v>96388696.4</v>
          </cell>
          <cell r="H65">
            <v>140697983.4</v>
          </cell>
          <cell r="M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</row>
        <row r="66">
          <cell r="B66" t="str">
            <v>UNDR</v>
          </cell>
          <cell r="C66" t="str">
            <v>Өндөрхаан инвест ХХК</v>
          </cell>
          <cell r="D66">
            <v>4901</v>
          </cell>
          <cell r="E66">
            <v>822159.2</v>
          </cell>
          <cell r="F66">
            <v>8717</v>
          </cell>
          <cell r="G66">
            <v>13733901.5</v>
          </cell>
          <cell r="H66">
            <v>14556060.7</v>
          </cell>
          <cell r="M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B67" t="str">
            <v>ZEUS</v>
          </cell>
          <cell r="C67" t="str">
            <v>Зюс капитал ХХК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M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B68" t="str">
            <v>ZGB</v>
          </cell>
          <cell r="C68" t="str">
            <v>Зэт жи би ХХК</v>
          </cell>
          <cell r="D68">
            <v>3381</v>
          </cell>
          <cell r="E68">
            <v>5297605</v>
          </cell>
          <cell r="F68">
            <v>3338</v>
          </cell>
          <cell r="G68">
            <v>5663328</v>
          </cell>
          <cell r="H68">
            <v>10960933</v>
          </cell>
          <cell r="M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B69" t="str">
            <v>ZRGD</v>
          </cell>
          <cell r="C69" t="str">
            <v>Зэргэд ХХК</v>
          </cell>
          <cell r="D69">
            <v>68079</v>
          </cell>
          <cell r="E69">
            <v>36252550.07</v>
          </cell>
          <cell r="F69">
            <v>69378</v>
          </cell>
          <cell r="G69">
            <v>37837570</v>
          </cell>
          <cell r="H69">
            <v>74090120.07</v>
          </cell>
          <cell r="M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BZIN</v>
          </cell>
          <cell r="C16" t="str">
            <v>"МИРЭ ЭССЭТ СЕКЬЮРИТИС МОНГОЛ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1877749848.6</v>
          </cell>
          <cell r="H16">
            <v>2785411780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4663161628.6</v>
          </cell>
          <cell r="N16">
            <v>52667019846.63999</v>
          </cell>
        </row>
        <row r="17">
          <cell r="B17" t="str">
            <v>BDSC</v>
          </cell>
          <cell r="C17" t="str">
            <v>"БИ ДИ СЕК ҮЦК" ХК</v>
          </cell>
          <cell r="D17" t="str">
            <v>●</v>
          </cell>
          <cell r="E17" t="str">
            <v>●</v>
          </cell>
          <cell r="F17" t="str">
            <v>●</v>
          </cell>
          <cell r="G17">
            <v>2428060602.9500003</v>
          </cell>
          <cell r="H17">
            <v>515000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2428575602.9500003</v>
          </cell>
          <cell r="N17">
            <v>36729213540.619995</v>
          </cell>
        </row>
        <row r="18">
          <cell r="B18" t="str">
            <v>NOVL</v>
          </cell>
          <cell r="C18" t="str">
            <v>"НОВЕЛ ИНВЕСТМЕНТ ҮЦК" ХХК</v>
          </cell>
          <cell r="D18" t="str">
            <v>●</v>
          </cell>
          <cell r="F18" t="str">
            <v>●</v>
          </cell>
          <cell r="G18">
            <v>603843569.49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603843569.49</v>
          </cell>
          <cell r="N18">
            <v>27560745062.54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816791054.89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816791054.89</v>
          </cell>
          <cell r="N19">
            <v>22125562760.5</v>
          </cell>
        </row>
        <row r="20">
          <cell r="B20" t="str">
            <v>GLMT</v>
          </cell>
          <cell r="C20" t="str">
            <v>"ГОЛОМТ КАПИТАЛ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2132309780.3999999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2132309780.3999999</v>
          </cell>
          <cell r="N20">
            <v>22359561740.200005</v>
          </cell>
        </row>
        <row r="21">
          <cell r="B21" t="str">
            <v>GAUL</v>
          </cell>
          <cell r="C21" t="str">
            <v>"ГАҮЛИ ҮЦК" ХХК</v>
          </cell>
          <cell r="D21" t="str">
            <v>●</v>
          </cell>
          <cell r="E21" t="str">
            <v>●</v>
          </cell>
          <cell r="G21">
            <v>240380516.92000002</v>
          </cell>
          <cell r="H21">
            <v>82023000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322403516.92</v>
          </cell>
          <cell r="N21">
            <v>18571759190.92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2028264638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2028264638</v>
          </cell>
          <cell r="N22">
            <v>8509408842.390001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3004621691.57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3004621691.57</v>
          </cell>
          <cell r="N23">
            <v>8331626796.360001</v>
          </cell>
        </row>
        <row r="24">
          <cell r="B24" t="str">
            <v>DELG</v>
          </cell>
          <cell r="C24" t="str">
            <v>"ДЭЛГЭРХАНГАЙ СЕКЮРИТИЗ ҮЦК" ХХК</v>
          </cell>
          <cell r="D24" t="str">
            <v>●</v>
          </cell>
          <cell r="G24">
            <v>24272529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24272529</v>
          </cell>
          <cell r="N24">
            <v>7857648200.740001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G25">
            <v>745903063.66</v>
          </cell>
          <cell r="H25">
            <v>68097200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814000263.66</v>
          </cell>
          <cell r="N25">
            <v>7025315498.799999</v>
          </cell>
        </row>
        <row r="26">
          <cell r="B26" t="str">
            <v>ARD</v>
          </cell>
          <cell r="C26" t="str">
            <v>"АРД КАПИТАЛ ГРУПП ҮЦК" ХХК</v>
          </cell>
          <cell r="D26" t="str">
            <v>●</v>
          </cell>
          <cell r="E26" t="str">
            <v>●</v>
          </cell>
          <cell r="G26">
            <v>128587551.36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128587551.36</v>
          </cell>
          <cell r="N26">
            <v>4224182977.9400005</v>
          </cell>
        </row>
        <row r="27">
          <cell r="B27" t="str">
            <v>TTOL</v>
          </cell>
          <cell r="C27" t="str">
            <v>"АПЕКС КАПИТАЛ ҮЦК" ХХК</v>
          </cell>
          <cell r="D27" t="str">
            <v>●</v>
          </cell>
          <cell r="G27">
            <v>129409160.75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129409160.75</v>
          </cell>
          <cell r="N27">
            <v>1529477991.8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G28">
            <v>103418919.02000001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103418919.02000001</v>
          </cell>
          <cell r="N28">
            <v>1498884448.84</v>
          </cell>
        </row>
        <row r="29">
          <cell r="B29" t="str">
            <v>BLMB</v>
          </cell>
          <cell r="C29" t="str">
            <v>"БЛҮМСБЮРИ СЕКЮРИТИЕС ҮЦК" ХХК </v>
          </cell>
          <cell r="D29" t="str">
            <v>●</v>
          </cell>
          <cell r="E29" t="str">
            <v>●</v>
          </cell>
          <cell r="G29">
            <v>47393424.19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47393424.19</v>
          </cell>
          <cell r="N29">
            <v>1382049881.6599998</v>
          </cell>
        </row>
        <row r="30">
          <cell r="B30" t="str">
            <v>BATS</v>
          </cell>
          <cell r="C30" t="str">
            <v>"БАТС ҮЦК" ХХК</v>
          </cell>
          <cell r="D30" t="str">
            <v>●</v>
          </cell>
          <cell r="G30">
            <v>70334756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70334756</v>
          </cell>
          <cell r="N30">
            <v>944214658.01</v>
          </cell>
        </row>
        <row r="31">
          <cell r="B31" t="str">
            <v>GNDX</v>
          </cell>
          <cell r="C31" t="str">
            <v>"ГЕНДЕКС ҮЦК" ХХК</v>
          </cell>
          <cell r="D31" t="str">
            <v>●</v>
          </cell>
          <cell r="G31">
            <v>84913654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84913654</v>
          </cell>
          <cell r="N31">
            <v>846297016.3399999</v>
          </cell>
        </row>
        <row r="32">
          <cell r="B32" t="str">
            <v>SANR</v>
          </cell>
          <cell r="C32" t="str">
            <v>"САНАР ҮЦК" ХХК</v>
          </cell>
          <cell r="D32" t="str">
            <v>●</v>
          </cell>
          <cell r="G32">
            <v>14083540.5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14083540.5</v>
          </cell>
          <cell r="N32">
            <v>811666881.9300001</v>
          </cell>
        </row>
        <row r="33">
          <cell r="B33" t="str">
            <v>ECM</v>
          </cell>
          <cell r="C33" t="str">
            <v>"ЕВРАЗИА КАПИТАЛ ХОЛДИНГ ҮЦК" ХК</v>
          </cell>
          <cell r="D33" t="str">
            <v>●</v>
          </cell>
          <cell r="E33" t="str">
            <v>●</v>
          </cell>
          <cell r="F33" t="str">
            <v>●</v>
          </cell>
          <cell r="G33">
            <v>2677376.5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2677376.5</v>
          </cell>
          <cell r="N33">
            <v>657142127.47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80365625.19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80365625.19</v>
          </cell>
          <cell r="N34">
            <v>646266547.6500001</v>
          </cell>
        </row>
        <row r="35">
          <cell r="B35" t="str">
            <v>TCHB</v>
          </cell>
          <cell r="C35" t="str">
            <v>"ТУЛГАТ ЧАНДМАНЬ БАЯН  ҮЦК" ХХК</v>
          </cell>
          <cell r="D35" t="str">
            <v>●</v>
          </cell>
          <cell r="G35">
            <v>63088494.06999999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63088494.06999999</v>
          </cell>
          <cell r="N35">
            <v>641180881.05</v>
          </cell>
        </row>
        <row r="36">
          <cell r="B36" t="str">
            <v>GDSC</v>
          </cell>
          <cell r="C36" t="str">
            <v>"ГҮҮДСЕК ҮЦК" ХХК</v>
          </cell>
          <cell r="D36" t="str">
            <v>●</v>
          </cell>
          <cell r="E36" t="str">
            <v>●</v>
          </cell>
          <cell r="F36" t="str">
            <v>●</v>
          </cell>
          <cell r="G36">
            <v>173506991.22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173506991.22</v>
          </cell>
          <cell r="N36">
            <v>583294258.96</v>
          </cell>
        </row>
        <row r="37">
          <cell r="B37" t="str">
            <v>HUN</v>
          </cell>
          <cell r="C37" t="str">
            <v>"ХҮННҮ ЭМПАЙР ҮЦК" ХХК</v>
          </cell>
          <cell r="D37" t="str">
            <v>●</v>
          </cell>
          <cell r="G37">
            <v>118695538.7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118695538.7</v>
          </cell>
          <cell r="N37">
            <v>494674670.15999997</v>
          </cell>
        </row>
        <row r="38">
          <cell r="B38" t="str">
            <v>LFTI</v>
          </cell>
          <cell r="C38" t="str">
            <v>"ЛАЙФТАЙМ ИНВЕСТМЕНТ ҮЦК" ХХК</v>
          </cell>
          <cell r="D38" t="str">
            <v>●</v>
          </cell>
          <cell r="E38" t="str">
            <v>●</v>
          </cell>
          <cell r="G38">
            <v>6998776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6998776</v>
          </cell>
          <cell r="N38">
            <v>482607845.31000006</v>
          </cell>
        </row>
        <row r="39">
          <cell r="B39" t="str">
            <v>DRBR</v>
          </cell>
          <cell r="C39" t="str">
            <v>"ДАРХАН БРОКЕР ҮЦК" ХХК</v>
          </cell>
          <cell r="D39" t="str">
            <v>●</v>
          </cell>
          <cell r="G39">
            <v>7173843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7173843</v>
          </cell>
          <cell r="N39">
            <v>388514192.84</v>
          </cell>
        </row>
        <row r="40">
          <cell r="B40" t="str">
            <v>TABO</v>
          </cell>
          <cell r="C40" t="str">
            <v>"ТАВАН БОГД ҮЦК" ХХК</v>
          </cell>
          <cell r="D40" t="str">
            <v>●</v>
          </cell>
          <cell r="G40">
            <v>20927085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20927085</v>
          </cell>
          <cell r="N40">
            <v>387445390.91999996</v>
          </cell>
        </row>
        <row r="41">
          <cell r="B41" t="str">
            <v>TNGR</v>
          </cell>
          <cell r="C41" t="str">
            <v>"ТЭНГЭР КАПИТАЛ  ҮЦК" ХХК</v>
          </cell>
          <cell r="D41" t="str">
            <v>●</v>
          </cell>
          <cell r="E41" t="str">
            <v>●</v>
          </cell>
          <cell r="F41" t="str">
            <v>●</v>
          </cell>
          <cell r="G41">
            <v>6674661.32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6674661.32</v>
          </cell>
          <cell r="N41">
            <v>378211850.64000005</v>
          </cell>
        </row>
        <row r="42">
          <cell r="B42" t="str">
            <v>GDEV</v>
          </cell>
          <cell r="C42" t="str">
            <v>"ГРАНДДЕВЕЛОПМЕНТ ҮЦК" ХХК</v>
          </cell>
          <cell r="D42" t="str">
            <v>●</v>
          </cell>
          <cell r="G42">
            <v>63243742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63243742</v>
          </cell>
          <cell r="N42">
            <v>371834263.88000005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29490890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29490890</v>
          </cell>
          <cell r="N43">
            <v>291909743.95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G44">
            <v>11735102.5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11735102.5</v>
          </cell>
          <cell r="N44">
            <v>267835835.86</v>
          </cell>
        </row>
        <row r="45">
          <cell r="B45" t="str">
            <v>BULG</v>
          </cell>
          <cell r="C45" t="str">
            <v>"БУЛГАН БРОКЕР ҮЦК" ХХК</v>
          </cell>
          <cell r="D45" t="str">
            <v>●</v>
          </cell>
          <cell r="G45">
            <v>26030980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26030980</v>
          </cell>
          <cell r="N45">
            <v>216263329.91</v>
          </cell>
        </row>
        <row r="46">
          <cell r="B46" t="str">
            <v>UNDR</v>
          </cell>
          <cell r="C46" t="str">
            <v>"ӨНДӨРХААН ИНВЕСТ ҮЦК" ХХК</v>
          </cell>
          <cell r="D46" t="str">
            <v>●</v>
          </cell>
          <cell r="G46">
            <v>23601426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23601426</v>
          </cell>
          <cell r="N46">
            <v>188966592.82999998</v>
          </cell>
        </row>
        <row r="47">
          <cell r="B47" t="str">
            <v>MONG</v>
          </cell>
          <cell r="C47" t="str">
            <v>"МОНГОЛ СЕКЮРИТИЕС ҮЦК" 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176331062</v>
          </cell>
        </row>
        <row r="48">
          <cell r="B48" t="str">
            <v>ALTN</v>
          </cell>
          <cell r="C48" t="str">
            <v>"АЛТАН ХОРОМСОГ ҮЦК" ХХК</v>
          </cell>
          <cell r="D48" t="str">
            <v>●</v>
          </cell>
          <cell r="G48">
            <v>71009385.55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71009385.55</v>
          </cell>
          <cell r="N48">
            <v>150297899.26999998</v>
          </cell>
        </row>
        <row r="49">
          <cell r="B49" t="str">
            <v>MSDQ</v>
          </cell>
          <cell r="C49" t="str">
            <v>"МАСДАК ҮНЭТ ЦААСНЫ КОМПАНИ" ХХК</v>
          </cell>
          <cell r="D49" t="str">
            <v>●</v>
          </cell>
          <cell r="G49">
            <v>4581788.2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4581788.2</v>
          </cell>
          <cell r="N49">
            <v>140349232.84</v>
          </cell>
        </row>
        <row r="50">
          <cell r="B50" t="str">
            <v>NSEC</v>
          </cell>
          <cell r="C50" t="str">
            <v>"НЭЙШНЛ СЕКЮРИТИС ҮЦК" ХХК</v>
          </cell>
          <cell r="D50" t="str">
            <v>●</v>
          </cell>
          <cell r="E50" t="str">
            <v>●</v>
          </cell>
          <cell r="F50" t="str">
            <v>●</v>
          </cell>
          <cell r="G50">
            <v>9520461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9520461</v>
          </cell>
          <cell r="N50">
            <v>134713028.76999998</v>
          </cell>
        </row>
        <row r="51">
          <cell r="B51" t="str">
            <v>BLAC</v>
          </cell>
          <cell r="C51" t="str">
            <v>"БЛЭКСТОУН ИНТЕРНЭЙШНЛ ҮЦК" ХХК</v>
          </cell>
          <cell r="D51" t="str">
            <v>●</v>
          </cell>
          <cell r="G51">
            <v>48692060.09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48692060.09</v>
          </cell>
          <cell r="N51">
            <v>130256364.21000001</v>
          </cell>
        </row>
        <row r="52">
          <cell r="B52" t="str">
            <v>APS</v>
          </cell>
          <cell r="C52" t="str">
            <v>"АЗИА ПАСИФИК СЕКЬЮРИТИС ҮЦК" ХХК</v>
          </cell>
          <cell r="D52" t="str">
            <v>●</v>
          </cell>
          <cell r="G52">
            <v>22739656.2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22739656.2</v>
          </cell>
          <cell r="N52">
            <v>130154243.60000001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85575685.23999998</v>
          </cell>
        </row>
        <row r="54">
          <cell r="B54" t="str">
            <v>MICC</v>
          </cell>
          <cell r="C54" t="str">
            <v>"ЭМ АЙ СИ СИ  ҮЦК" ХХК</v>
          </cell>
          <cell r="D54" t="str">
            <v>●</v>
          </cell>
          <cell r="E54" t="str">
            <v>●</v>
          </cell>
          <cell r="G54">
            <v>8464980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8464980</v>
          </cell>
          <cell r="N54">
            <v>72756724.97</v>
          </cell>
        </row>
        <row r="55">
          <cell r="B55" t="str">
            <v>SECP</v>
          </cell>
          <cell r="C55" t="str">
            <v>"СИКАП  ҮЦК" ХХК</v>
          </cell>
          <cell r="D55" t="str">
            <v>●</v>
          </cell>
          <cell r="E55" t="str">
            <v>●</v>
          </cell>
          <cell r="G55">
            <v>976500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976500</v>
          </cell>
          <cell r="N55">
            <v>58143360.419999994</v>
          </cell>
        </row>
        <row r="56">
          <cell r="B56" t="str">
            <v>SILS</v>
          </cell>
          <cell r="C56" t="str">
            <v>"СИЛВЭР ЛАЙТ СЕКЮРИТИЙЗ ҮЦК" ХХК</v>
          </cell>
          <cell r="D56" t="str">
            <v>●</v>
          </cell>
          <cell r="G56">
            <v>23826865</v>
          </cell>
          <cell r="H56">
            <v>0</v>
          </cell>
          <cell r="I56">
            <v>0</v>
          </cell>
          <cell r="J56">
            <v>0</v>
          </cell>
          <cell r="L56">
            <v>0</v>
          </cell>
          <cell r="M56">
            <v>23826865</v>
          </cell>
          <cell r="N56">
            <v>49855452.15</v>
          </cell>
        </row>
        <row r="57">
          <cell r="B57" t="str">
            <v>GATR</v>
          </cell>
          <cell r="C57" t="str">
            <v>"ГАЦУУРТ ТРЕЙД ҮЦК" ХХК</v>
          </cell>
          <cell r="D57" t="str">
            <v>●</v>
          </cell>
          <cell r="G57">
            <v>1946310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1946310</v>
          </cell>
          <cell r="N57">
            <v>47631345.03</v>
          </cell>
        </row>
        <row r="58">
          <cell r="B58" t="str">
            <v>ARGB</v>
          </cell>
          <cell r="C58" t="str">
            <v>"АРГАЙ БЭСТ ҮЦК" ХХК</v>
          </cell>
          <cell r="D58" t="str">
            <v>●</v>
          </cell>
          <cell r="G58">
            <v>702833.8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702833.8</v>
          </cell>
          <cell r="N58">
            <v>18962636.3</v>
          </cell>
        </row>
        <row r="59">
          <cell r="B59" t="str">
            <v>ZGB</v>
          </cell>
          <cell r="C59" t="str">
            <v>"ЗЭТ ЖИ БИ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9603762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3788300</v>
          </cell>
        </row>
        <row r="61">
          <cell r="B61" t="str">
            <v>DCF</v>
          </cell>
          <cell r="C61" t="str">
            <v>ДИ СИ ЭФ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 t="str">
            <v>BKHE</v>
          </cell>
          <cell r="C62" t="str">
            <v>БАГА ХЭЭР ХХК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 t="str">
            <v>GNN</v>
          </cell>
          <cell r="C63" t="str">
            <v>ГОВИЙН НОЁН НУРУУ ХХК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ITR</v>
          </cell>
          <cell r="C64" t="str">
            <v>АЙ ТРЕЙД ХХК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BBSS</v>
          </cell>
          <cell r="C65" t="str">
            <v>БИ БИ ЭС ЭС ХХК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DGSN</v>
          </cell>
          <cell r="C66" t="str">
            <v>ДОГСОН ХХК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FINL</v>
          </cell>
          <cell r="C67" t="str">
            <v>ФИНАНС ЛИНК ГРУПП ХХК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CAPM</v>
          </cell>
          <cell r="C68" t="str">
            <v>"КАПИТАЛ МАРКЕТ КОРПОРАЦИ ҮЦК" ХХК</v>
          </cell>
          <cell r="D68" t="str">
            <v>●</v>
          </cell>
          <cell r="E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 t="str">
            <v>ACE</v>
          </cell>
          <cell r="C69" t="str">
            <v>"АСЕ ЭНД Т КАПИТАЛ ҮЦК" ХХК</v>
          </cell>
          <cell r="D69" t="str">
            <v>●</v>
          </cell>
          <cell r="E69" t="str">
            <v>●</v>
          </cell>
          <cell r="F69" t="str">
            <v>●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B70" t="str">
            <v>SGC</v>
          </cell>
          <cell r="C70" t="str">
            <v>"ЭС ЖИ КАПИТАЛ ҮЦК" ХХК</v>
          </cell>
          <cell r="D70" t="str">
            <v>●</v>
          </cell>
          <cell r="E70" t="str">
            <v>●</v>
          </cell>
          <cell r="F70" t="str">
            <v>●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B71" t="str">
            <v>FRON</v>
          </cell>
          <cell r="C71" t="str">
            <v>"ФРОНТИЕР ҮЦК" ХХК</v>
          </cell>
          <cell r="D71" t="str">
            <v>●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B72" t="str">
            <v>MWTS</v>
          </cell>
          <cell r="C72" t="str">
            <v>"ЭМ ДАБЛЬЮ ТИ ЭС ҮЦК" ХХК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B73" t="str">
            <v>PREV</v>
          </cell>
          <cell r="C73" t="str">
            <v>ПРЕВАЛЕНТ ХХК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B74" t="str">
            <v>ZEUS</v>
          </cell>
          <cell r="C74" t="str">
            <v>ЗЮС КАПИТАЛ ХХК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3"/>
  <sheetViews>
    <sheetView tabSelected="1" view="pageBreakPreview" zoomScale="70" zoomScaleSheetLayoutView="70" workbookViewId="0" topLeftCell="A1">
      <pane xSplit="3" ySplit="15" topLeftCell="H16" activePane="bottomRight" state="frozen"/>
      <selection pane="topRight" activeCell="D1" sqref="D1"/>
      <selection pane="bottomLeft" activeCell="A16" sqref="A16"/>
      <selection pane="bottomRight" activeCell="C18" sqref="C18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421875" style="1" bestFit="1" customWidth="1"/>
    <col min="14" max="14" width="25.421875" style="1" customWidth="1"/>
    <col min="15" max="15" width="16.710937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4"/>
    </row>
    <row r="2" ht="15">
      <c r="P2" s="24"/>
    </row>
    <row r="3" ht="15">
      <c r="P3" s="24"/>
    </row>
    <row r="4" ht="15">
      <c r="P4" s="24"/>
    </row>
    <row r="5" ht="15">
      <c r="P5" s="24"/>
    </row>
    <row r="6" ht="13.9" customHeight="1">
      <c r="P6" s="24"/>
    </row>
    <row r="7" spans="10:16" ht="15.75">
      <c r="J7" s="5"/>
      <c r="K7" s="5"/>
      <c r="L7" s="5"/>
      <c r="P7" s="24"/>
    </row>
    <row r="8" spans="8:16" ht="15.75">
      <c r="H8" s="6"/>
      <c r="I8" s="6"/>
      <c r="J8" s="7"/>
      <c r="K8" s="7"/>
      <c r="L8" s="7"/>
      <c r="M8" s="7"/>
      <c r="P8" s="24"/>
    </row>
    <row r="9" spans="2:16" ht="15" customHeight="1">
      <c r="B9" s="8"/>
      <c r="C9" s="9"/>
      <c r="D9" s="48" t="s">
        <v>0</v>
      </c>
      <c r="E9" s="48"/>
      <c r="F9" s="48"/>
      <c r="G9" s="48"/>
      <c r="H9" s="48"/>
      <c r="I9" s="48"/>
      <c r="J9" s="48"/>
      <c r="K9" s="48"/>
      <c r="L9" s="48"/>
      <c r="M9" s="9"/>
      <c r="N9" s="9"/>
      <c r="O9" s="9"/>
      <c r="P9" s="24"/>
    </row>
    <row r="10" ht="15.75">
      <c r="P10" s="24"/>
    </row>
    <row r="11" spans="12:16" ht="15" customHeight="1" thickBot="1">
      <c r="L11" s="49" t="s">
        <v>138</v>
      </c>
      <c r="M11" s="49"/>
      <c r="N11" s="49"/>
      <c r="O11" s="49"/>
      <c r="P11" s="24"/>
    </row>
    <row r="12" spans="1:16" ht="14.45" customHeight="1">
      <c r="A12" s="50" t="s">
        <v>1</v>
      </c>
      <c r="B12" s="52" t="s">
        <v>2</v>
      </c>
      <c r="C12" s="52" t="s">
        <v>3</v>
      </c>
      <c r="D12" s="52" t="s">
        <v>4</v>
      </c>
      <c r="E12" s="52"/>
      <c r="F12" s="52"/>
      <c r="G12" s="54" t="s">
        <v>137</v>
      </c>
      <c r="H12" s="54"/>
      <c r="I12" s="54"/>
      <c r="J12" s="54"/>
      <c r="K12" s="54"/>
      <c r="L12" s="54"/>
      <c r="M12" s="54"/>
      <c r="N12" s="56" t="s">
        <v>130</v>
      </c>
      <c r="O12" s="57"/>
      <c r="P12" s="24"/>
    </row>
    <row r="13" spans="1:17" s="8" customFormat="1" ht="15.75" customHeight="1">
      <c r="A13" s="51"/>
      <c r="B13" s="53"/>
      <c r="C13" s="53"/>
      <c r="D13" s="53"/>
      <c r="E13" s="53"/>
      <c r="F13" s="53"/>
      <c r="G13" s="55"/>
      <c r="H13" s="55"/>
      <c r="I13" s="55"/>
      <c r="J13" s="55"/>
      <c r="K13" s="55"/>
      <c r="L13" s="55"/>
      <c r="M13" s="55"/>
      <c r="N13" s="58"/>
      <c r="O13" s="59"/>
      <c r="P13" s="35"/>
      <c r="Q13" s="10"/>
    </row>
    <row r="14" spans="1:17" s="8" customFormat="1" ht="33.75" customHeight="1">
      <c r="A14" s="51"/>
      <c r="B14" s="53"/>
      <c r="C14" s="53"/>
      <c r="D14" s="53"/>
      <c r="E14" s="53"/>
      <c r="F14" s="53"/>
      <c r="G14" s="64" t="s">
        <v>5</v>
      </c>
      <c r="H14" s="65"/>
      <c r="I14" s="66"/>
      <c r="J14" s="64" t="s">
        <v>132</v>
      </c>
      <c r="K14" s="65"/>
      <c r="L14" s="66"/>
      <c r="M14" s="62" t="s">
        <v>6</v>
      </c>
      <c r="N14" s="67" t="s">
        <v>7</v>
      </c>
      <c r="O14" s="69" t="s">
        <v>8</v>
      </c>
      <c r="P14" s="35"/>
      <c r="Q14" s="10"/>
    </row>
    <row r="15" spans="1:15" s="8" customFormat="1" ht="55.9" customHeight="1">
      <c r="A15" s="51"/>
      <c r="B15" s="53"/>
      <c r="C15" s="53"/>
      <c r="D15" s="30" t="s">
        <v>9</v>
      </c>
      <c r="E15" s="30" t="s">
        <v>10</v>
      </c>
      <c r="F15" s="30" t="s">
        <v>11</v>
      </c>
      <c r="G15" s="28" t="s">
        <v>133</v>
      </c>
      <c r="H15" s="11" t="s">
        <v>129</v>
      </c>
      <c r="I15" s="28" t="s">
        <v>131</v>
      </c>
      <c r="J15" s="28" t="s">
        <v>133</v>
      </c>
      <c r="K15" s="28" t="s">
        <v>129</v>
      </c>
      <c r="L15" s="28" t="s">
        <v>131</v>
      </c>
      <c r="M15" s="63"/>
      <c r="N15" s="68"/>
      <c r="O15" s="70"/>
    </row>
    <row r="16" spans="1:15" s="45" customFormat="1" ht="55.9" customHeight="1">
      <c r="A16" s="46"/>
      <c r="B16" s="47"/>
      <c r="C16" s="47"/>
      <c r="D16" s="47"/>
      <c r="E16" s="47"/>
      <c r="F16" s="47"/>
      <c r="G16" s="41"/>
      <c r="H16" s="11"/>
      <c r="I16" s="41"/>
      <c r="J16" s="41"/>
      <c r="K16" s="41"/>
      <c r="L16" s="41"/>
      <c r="M16" s="42"/>
      <c r="N16" s="43"/>
      <c r="O16" s="44"/>
    </row>
    <row r="17" spans="1:17" ht="15">
      <c r="A17" s="12">
        <v>1</v>
      </c>
      <c r="B17" s="13" t="s">
        <v>21</v>
      </c>
      <c r="C17" s="14" t="s">
        <v>22</v>
      </c>
      <c r="D17" s="15" t="s">
        <v>14</v>
      </c>
      <c r="E17" s="16" t="s">
        <v>14</v>
      </c>
      <c r="F17" s="16" t="s">
        <v>14</v>
      </c>
      <c r="G17" s="17">
        <f>VLOOKUP(B17,'[1]Brokers'!$B$9:$H$69,7,0)</f>
        <v>474279611.44</v>
      </c>
      <c r="H17" s="17">
        <f>VLOOKUP(B17,'[1]Brokers'!$B$9:$X$69,23,0)</f>
        <v>1669410040</v>
      </c>
      <c r="I17" s="40">
        <f>VLOOKUP(B17,'[1]Brokers'!$B$9:$R$69,17,0)</f>
        <v>0</v>
      </c>
      <c r="J17" s="17">
        <f>VLOOKUP(B17,'[1]Brokers'!$B$9:$M$69,12,0)</f>
        <v>0</v>
      </c>
      <c r="K17" s="17">
        <v>0</v>
      </c>
      <c r="L17" s="17">
        <v>0</v>
      </c>
      <c r="M17" s="18">
        <f>L17+I17+J17+H17+G17</f>
        <v>2143689651.44</v>
      </c>
      <c r="N17" s="31">
        <f>(VLOOKUP(B17,'[2]Sheet1'!$B$16:$N$74,13,0))+2143689651.44</f>
        <v>54810709498.079994</v>
      </c>
      <c r="O17" s="34">
        <f>N17/$N$78</f>
        <v>0.22741709802724625</v>
      </c>
      <c r="Q17" s="1"/>
    </row>
    <row r="18" spans="1:29" ht="15">
      <c r="A18" s="12">
        <v>2</v>
      </c>
      <c r="B18" s="13" t="s">
        <v>12</v>
      </c>
      <c r="C18" s="14" t="s">
        <v>13</v>
      </c>
      <c r="D18" s="15" t="s">
        <v>14</v>
      </c>
      <c r="E18" s="16" t="s">
        <v>14</v>
      </c>
      <c r="F18" s="16" t="s">
        <v>14</v>
      </c>
      <c r="G18" s="17">
        <f>VLOOKUP(B18,'[1]Brokers'!$B$9:$H$69,7,0)</f>
        <v>592347733.16</v>
      </c>
      <c r="H18" s="17">
        <f>VLOOKUP(B18,'[1]Brokers'!$B$9:$X$69,23,0)</f>
        <v>0</v>
      </c>
      <c r="I18" s="40">
        <f>VLOOKUP(B18,'[1]Brokers'!$B$9:$R$69,17,0)</f>
        <v>0</v>
      </c>
      <c r="J18" s="17">
        <f>VLOOKUP(B18,'[1]Brokers'!$B$9:$M$69,12,0)</f>
        <v>0</v>
      </c>
      <c r="K18" s="17">
        <v>0</v>
      </c>
      <c r="L18" s="17">
        <v>0</v>
      </c>
      <c r="M18" s="18">
        <f>L18+I18+J18+H18+G18</f>
        <v>592347733.16</v>
      </c>
      <c r="N18" s="31">
        <f>(VLOOKUP(B18,'[2]Sheet1'!$B$16:$N$74,13,0))+592347733.16</f>
        <v>37321561273.78</v>
      </c>
      <c r="O18" s="34">
        <f>N18/$N$78</f>
        <v>0.15485224030946762</v>
      </c>
      <c r="Q18" s="1"/>
      <c r="R18" s="61"/>
      <c r="S18" s="61"/>
      <c r="T18" s="61"/>
      <c r="U18" s="61"/>
      <c r="V18" s="2"/>
      <c r="W18" s="3"/>
      <c r="X18" s="3"/>
      <c r="AB18" s="25"/>
      <c r="AC18" s="25"/>
    </row>
    <row r="19" spans="1:16" ht="15">
      <c r="A19" s="12">
        <v>3</v>
      </c>
      <c r="B19" s="13" t="s">
        <v>15</v>
      </c>
      <c r="C19" s="14" t="s">
        <v>16</v>
      </c>
      <c r="D19" s="15" t="s">
        <v>14</v>
      </c>
      <c r="E19" s="16"/>
      <c r="F19" s="16" t="s">
        <v>14</v>
      </c>
      <c r="G19" s="17">
        <f>VLOOKUP(B19,'[1]Brokers'!$B$9:$H$69,7,0)</f>
        <v>364775002.56</v>
      </c>
      <c r="H19" s="17">
        <f>VLOOKUP(B19,'[1]Brokers'!$B$9:$X$69,23,0)</f>
        <v>0</v>
      </c>
      <c r="I19" s="40">
        <f>VLOOKUP(B19,'[1]Brokers'!$B$9:$R$69,17,0)</f>
        <v>0</v>
      </c>
      <c r="J19" s="17">
        <f>VLOOKUP(B19,'[1]Brokers'!$B$9:$M$69,12,0)</f>
        <v>0</v>
      </c>
      <c r="K19" s="17">
        <v>0</v>
      </c>
      <c r="L19" s="17">
        <v>0</v>
      </c>
      <c r="M19" s="18">
        <f>L19+I19+J19+H19+G19</f>
        <v>364775002.56</v>
      </c>
      <c r="N19" s="31">
        <f>(VLOOKUP(B19,'[2]Sheet1'!$B$16:$N$74,13,0))+364775002.56</f>
        <v>27925520065.100002</v>
      </c>
      <c r="O19" s="34">
        <f>N19/$N$78</f>
        <v>0.11586678574794117</v>
      </c>
      <c r="P19" s="36"/>
    </row>
    <row r="20" spans="1:16" ht="15">
      <c r="A20" s="12">
        <v>6</v>
      </c>
      <c r="B20" s="13" t="s">
        <v>19</v>
      </c>
      <c r="C20" s="14" t="s">
        <v>20</v>
      </c>
      <c r="D20" s="15" t="s">
        <v>14</v>
      </c>
      <c r="E20" s="16" t="s">
        <v>14</v>
      </c>
      <c r="F20" s="16" t="s">
        <v>14</v>
      </c>
      <c r="G20" s="17">
        <f>VLOOKUP(B20,'[1]Brokers'!$B$9:$H$69,7,0)</f>
        <v>744630387.98</v>
      </c>
      <c r="H20" s="17">
        <f>VLOOKUP(B20,'[1]Brokers'!$B$9:$X$69,23,0)</f>
        <v>57155400</v>
      </c>
      <c r="I20" s="40">
        <f>VLOOKUP(B20,'[1]Brokers'!$B$9:$R$69,17,0)</f>
        <v>0</v>
      </c>
      <c r="J20" s="17">
        <f>VLOOKUP(B20,'[1]Brokers'!$B$9:$M$69,12,0)</f>
        <v>0</v>
      </c>
      <c r="K20" s="17">
        <v>0</v>
      </c>
      <c r="L20" s="17">
        <v>0</v>
      </c>
      <c r="M20" s="18">
        <f>L20+I20+J20+H20+G20</f>
        <v>801785787.98</v>
      </c>
      <c r="N20" s="31">
        <f>(VLOOKUP(B20,'[2]Sheet1'!$B$16:$N$74,13,0))+801785787.98</f>
        <v>23161347528.180004</v>
      </c>
      <c r="O20" s="34">
        <f>N20/$N$78</f>
        <v>0.09609958509009524</v>
      </c>
      <c r="P20" s="36"/>
    </row>
    <row r="21" spans="1:16" ht="15">
      <c r="A21" s="12">
        <v>5</v>
      </c>
      <c r="B21" s="13" t="s">
        <v>41</v>
      </c>
      <c r="C21" s="14" t="s">
        <v>42</v>
      </c>
      <c r="D21" s="15" t="s">
        <v>14</v>
      </c>
      <c r="E21" s="15" t="s">
        <v>14</v>
      </c>
      <c r="F21" s="16" t="s">
        <v>14</v>
      </c>
      <c r="G21" s="17">
        <f>VLOOKUP(B21,'[1]Brokers'!$B$9:$H$69,7,0)</f>
        <v>352285957.58</v>
      </c>
      <c r="H21" s="17">
        <f>VLOOKUP(B21,'[1]Brokers'!$B$9:$X$69,23,0)</f>
        <v>0</v>
      </c>
      <c r="I21" s="40">
        <f>VLOOKUP(B21,'[1]Brokers'!$B$9:$R$69,17,0)</f>
        <v>0</v>
      </c>
      <c r="J21" s="17">
        <f>VLOOKUP(B21,'[1]Brokers'!$B$9:$M$69,12,0)</f>
        <v>0</v>
      </c>
      <c r="K21" s="17">
        <v>0</v>
      </c>
      <c r="L21" s="17">
        <v>0</v>
      </c>
      <c r="M21" s="18">
        <f>L21+I21+J21+H21+G21</f>
        <v>352285957.58</v>
      </c>
      <c r="N21" s="31">
        <f>(VLOOKUP(B21,'[2]Sheet1'!$B$16:$N$74,13,0))+352285957.58</f>
        <v>22477848718.08</v>
      </c>
      <c r="O21" s="34">
        <f>N21/$N$78</f>
        <v>0.09326365544566209</v>
      </c>
      <c r="P21" s="36"/>
    </row>
    <row r="22" spans="1:17" s="29" customFormat="1" ht="15">
      <c r="A22" s="12">
        <v>4</v>
      </c>
      <c r="B22" s="13" t="s">
        <v>31</v>
      </c>
      <c r="C22" s="14" t="s">
        <v>32</v>
      </c>
      <c r="D22" s="15" t="s">
        <v>14</v>
      </c>
      <c r="E22" s="16" t="s">
        <v>14</v>
      </c>
      <c r="F22" s="16"/>
      <c r="G22" s="17">
        <f>VLOOKUP(B22,'[1]Brokers'!$B$9:$H$69,7,0)</f>
        <v>134503282.57999998</v>
      </c>
      <c r="H22" s="17">
        <f>VLOOKUP(B22,'[1]Brokers'!$B$9:$X$69,23,0)</f>
        <v>34631600</v>
      </c>
      <c r="I22" s="40">
        <f>VLOOKUP(B22,'[1]Brokers'!$B$9:$R$69,17,0)</f>
        <v>0</v>
      </c>
      <c r="J22" s="17">
        <f>VLOOKUP(B22,'[1]Brokers'!$B$9:$M$69,12,0)</f>
        <v>0</v>
      </c>
      <c r="K22" s="17">
        <v>0</v>
      </c>
      <c r="L22" s="17">
        <v>0</v>
      </c>
      <c r="M22" s="18">
        <f>L22+I22+J22+H22+G22</f>
        <v>169134882.57999998</v>
      </c>
      <c r="N22" s="31">
        <f>(VLOOKUP(B22,'[2]Sheet1'!$B$16:$N$74,13,0))+169134882.58</f>
        <v>18740894073.5</v>
      </c>
      <c r="O22" s="34">
        <f>N22/$N$78</f>
        <v>0.07775852171336488</v>
      </c>
      <c r="P22" s="36"/>
      <c r="Q22" s="10"/>
    </row>
    <row r="23" spans="1:16" ht="15">
      <c r="A23" s="12">
        <v>7</v>
      </c>
      <c r="B23" s="13" t="s">
        <v>25</v>
      </c>
      <c r="C23" s="14" t="s">
        <v>26</v>
      </c>
      <c r="D23" s="15" t="s">
        <v>14</v>
      </c>
      <c r="E23" s="16" t="s">
        <v>14</v>
      </c>
      <c r="F23" s="16"/>
      <c r="G23" s="17">
        <f>VLOOKUP(B23,'[1]Brokers'!$B$9:$H$69,7,0)</f>
        <v>332823237.97</v>
      </c>
      <c r="H23" s="17">
        <f>VLOOKUP(B23,'[1]Brokers'!$B$9:$X$69,23,0)</f>
        <v>0</v>
      </c>
      <c r="I23" s="40">
        <f>VLOOKUP(B23,'[1]Brokers'!$B$9:$R$69,17,0)</f>
        <v>0</v>
      </c>
      <c r="J23" s="17">
        <f>VLOOKUP(B23,'[1]Brokers'!$B$9:$M$69,12,0)</f>
        <v>2040000000</v>
      </c>
      <c r="K23" s="17">
        <v>0</v>
      </c>
      <c r="L23" s="17">
        <v>0</v>
      </c>
      <c r="M23" s="18">
        <f>L23+I23+J23+H23+G23</f>
        <v>2372823237.9700003</v>
      </c>
      <c r="N23" s="31">
        <f>(VLOOKUP(B23,'[2]Sheet1'!$B$16:$N$74,13,0))+2372823237.97</f>
        <v>9398138736.769999</v>
      </c>
      <c r="O23" s="34">
        <f>N23/$N$78</f>
        <v>0.038994157491220795</v>
      </c>
      <c r="P23" s="36"/>
    </row>
    <row r="24" spans="1:16" ht="15">
      <c r="A24" s="12">
        <v>10</v>
      </c>
      <c r="B24" s="13" t="s">
        <v>29</v>
      </c>
      <c r="C24" s="14" t="s">
        <v>30</v>
      </c>
      <c r="D24" s="15" t="s">
        <v>14</v>
      </c>
      <c r="E24" s="16" t="s">
        <v>14</v>
      </c>
      <c r="F24" s="16" t="s">
        <v>14</v>
      </c>
      <c r="G24" s="17">
        <f>VLOOKUP(B24,'[1]Brokers'!$B$9:$H$69,7,0)</f>
        <v>651322680.6500001</v>
      </c>
      <c r="H24" s="17">
        <f>VLOOKUP(B24,'[1]Brokers'!$B$9:$X$69,23,0)</f>
        <v>0</v>
      </c>
      <c r="I24" s="40">
        <f>VLOOKUP(B24,'[1]Brokers'!$B$9:$R$69,17,0)</f>
        <v>0</v>
      </c>
      <c r="J24" s="17">
        <f>VLOOKUP(B24,'[1]Brokers'!$B$9:$M$69,12,0)</f>
        <v>0</v>
      </c>
      <c r="K24" s="17">
        <v>0</v>
      </c>
      <c r="L24" s="17">
        <v>0</v>
      </c>
      <c r="M24" s="18">
        <f>L24+I24+J24+H24+G24</f>
        <v>651322680.6500001</v>
      </c>
      <c r="N24" s="31">
        <f>(VLOOKUP(B24,'[2]Sheet1'!$B$16:$N$74,13,0))+651322680.65</f>
        <v>9160731523.04</v>
      </c>
      <c r="O24" s="34">
        <f>N24/$N$78</f>
        <v>0.038009122630486114</v>
      </c>
      <c r="P24" s="36"/>
    </row>
    <row r="25" spans="1:16" ht="15">
      <c r="A25" s="12">
        <v>8</v>
      </c>
      <c r="B25" s="13" t="s">
        <v>27</v>
      </c>
      <c r="C25" s="14" t="s">
        <v>28</v>
      </c>
      <c r="D25" s="15" t="s">
        <v>14</v>
      </c>
      <c r="E25" s="16" t="s">
        <v>14</v>
      </c>
      <c r="F25" s="16" t="s">
        <v>14</v>
      </c>
      <c r="G25" s="17">
        <f>VLOOKUP(B25,'[1]Brokers'!$B$9:$H$69,7,0)</f>
        <v>369448376.35</v>
      </c>
      <c r="H25" s="17">
        <f>VLOOKUP(B25,'[1]Brokers'!$B$9:$X$69,23,0)</f>
        <v>0</v>
      </c>
      <c r="I25" s="40">
        <f>VLOOKUP(B25,'[1]Brokers'!$B$9:$R$69,17,0)</f>
        <v>0</v>
      </c>
      <c r="J25" s="17">
        <f>VLOOKUP(B25,'[1]Brokers'!$B$9:$M$69,12,0)</f>
        <v>0</v>
      </c>
      <c r="K25" s="17">
        <v>0</v>
      </c>
      <c r="L25" s="17">
        <v>0</v>
      </c>
      <c r="M25" s="18">
        <f>L25+I25+J25+H25+G25</f>
        <v>369448376.35</v>
      </c>
      <c r="N25" s="31">
        <f>(VLOOKUP(B25,'[2]Sheet1'!$B$16:$N$74,13,0))+369448376.35</f>
        <v>8701075172.710001</v>
      </c>
      <c r="O25" s="34">
        <f>N25/$N$78</f>
        <v>0.03610194583531061</v>
      </c>
      <c r="P25" s="36"/>
    </row>
    <row r="26" spans="1:17" ht="15">
      <c r="A26" s="12">
        <v>9</v>
      </c>
      <c r="B26" s="13" t="s">
        <v>45</v>
      </c>
      <c r="C26" s="14" t="s">
        <v>46</v>
      </c>
      <c r="D26" s="15" t="s">
        <v>14</v>
      </c>
      <c r="E26" s="16"/>
      <c r="F26" s="16"/>
      <c r="G26" s="17">
        <f>VLOOKUP(B26,'[1]Brokers'!$B$9:$H$69,7,0)</f>
        <v>26625636.9</v>
      </c>
      <c r="H26" s="17">
        <f>VLOOKUP(B26,'[1]Brokers'!$B$9:$X$69,23,0)</f>
        <v>0</v>
      </c>
      <c r="I26" s="40">
        <f>VLOOKUP(B26,'[1]Brokers'!$B$9:$R$69,17,0)</f>
        <v>0</v>
      </c>
      <c r="J26" s="17">
        <f>VLOOKUP(B26,'[1]Brokers'!$B$9:$M$69,12,0)</f>
        <v>0</v>
      </c>
      <c r="K26" s="17">
        <v>0</v>
      </c>
      <c r="L26" s="17">
        <v>0</v>
      </c>
      <c r="M26" s="18">
        <f>L26+I26+J26+H26+G26</f>
        <v>26625636.9</v>
      </c>
      <c r="N26" s="31">
        <f>(VLOOKUP(B26,'[2]Sheet1'!$B$16:$N$74,13,0))+26625636.9</f>
        <v>7884273837.64</v>
      </c>
      <c r="O26" s="34">
        <f>N26/$N$78</f>
        <v>0.032712925861159266</v>
      </c>
      <c r="P26" s="36"/>
      <c r="Q26" s="1"/>
    </row>
    <row r="27" spans="1:16" ht="15">
      <c r="A27" s="12">
        <v>11</v>
      </c>
      <c r="B27" s="13" t="s">
        <v>23</v>
      </c>
      <c r="C27" s="14" t="s">
        <v>24</v>
      </c>
      <c r="D27" s="15" t="s">
        <v>14</v>
      </c>
      <c r="E27" s="16" t="s">
        <v>14</v>
      </c>
      <c r="F27" s="16"/>
      <c r="G27" s="17">
        <f>VLOOKUP(B27,'[1]Brokers'!$B$9:$H$69,7,0)</f>
        <v>2299670044.2</v>
      </c>
      <c r="H27" s="17">
        <f>VLOOKUP(B27,'[1]Brokers'!$B$9:$X$69,23,0)</f>
        <v>0</v>
      </c>
      <c r="I27" s="40">
        <f>VLOOKUP(B27,'[1]Brokers'!$B$9:$R$69,17,0)</f>
        <v>0</v>
      </c>
      <c r="J27" s="17">
        <f>VLOOKUP(B27,'[1]Brokers'!$B$9:$M$69,12,0)</f>
        <v>0</v>
      </c>
      <c r="K27" s="17">
        <v>0</v>
      </c>
      <c r="L27" s="17">
        <v>0</v>
      </c>
      <c r="M27" s="18">
        <f>L27+I27+J27+H27+G27</f>
        <v>2299670044.2</v>
      </c>
      <c r="N27" s="31">
        <f>(VLOOKUP(B27,'[2]Sheet1'!$B$16:$N$74,13,0))+2299670044.2</f>
        <v>6523853022.14</v>
      </c>
      <c r="O27" s="34">
        <f>N27/$N$78</f>
        <v>0.027068354630646232</v>
      </c>
      <c r="P27" s="36"/>
    </row>
    <row r="28" spans="1:16" ht="15">
      <c r="A28" s="12">
        <v>14</v>
      </c>
      <c r="B28" s="13" t="s">
        <v>79</v>
      </c>
      <c r="C28" s="14" t="s">
        <v>136</v>
      </c>
      <c r="D28" s="15" t="s">
        <v>14</v>
      </c>
      <c r="E28" s="16"/>
      <c r="F28" s="16"/>
      <c r="G28" s="17">
        <f>VLOOKUP(B28,'[1]Brokers'!$B$9:$H$69,7,0)</f>
        <v>140697983.4</v>
      </c>
      <c r="H28" s="17">
        <f>VLOOKUP(B28,'[1]Brokers'!$B$9:$X$69,23,0)</f>
        <v>0</v>
      </c>
      <c r="I28" s="40">
        <f>VLOOKUP(B28,'[1]Brokers'!$B$9:$R$69,17,0)</f>
        <v>0</v>
      </c>
      <c r="J28" s="17">
        <f>VLOOKUP(B28,'[1]Brokers'!$B$9:$M$69,12,0)</f>
        <v>0</v>
      </c>
      <c r="K28" s="17">
        <v>0</v>
      </c>
      <c r="L28" s="17">
        <v>0</v>
      </c>
      <c r="M28" s="18">
        <f>L28+I28+J28+H28+G28</f>
        <v>140697983.4</v>
      </c>
      <c r="N28" s="31">
        <f>(VLOOKUP(B28,'[2]Sheet1'!$B$16:$N$74,13,0))+140697983.4</f>
        <v>1670175975.2</v>
      </c>
      <c r="O28" s="34">
        <f>N28/$N$78</f>
        <v>0.006929787571680955</v>
      </c>
      <c r="P28" s="36"/>
    </row>
    <row r="29" spans="1:16" ht="15">
      <c r="A29" s="12">
        <v>13</v>
      </c>
      <c r="B29" s="13" t="s">
        <v>35</v>
      </c>
      <c r="C29" s="14" t="s">
        <v>36</v>
      </c>
      <c r="D29" s="15" t="s">
        <v>14</v>
      </c>
      <c r="E29" s="16" t="s">
        <v>14</v>
      </c>
      <c r="F29" s="16"/>
      <c r="G29" s="17">
        <f>VLOOKUP(B29,'[1]Brokers'!$B$9:$H$69,7,0)</f>
        <v>50317467.3</v>
      </c>
      <c r="H29" s="17">
        <f>VLOOKUP(B29,'[1]Brokers'!$B$9:$X$69,23,0)</f>
        <v>0</v>
      </c>
      <c r="I29" s="40">
        <f>VLOOKUP(B29,'[1]Brokers'!$B$9:$R$69,17,0)</f>
        <v>0</v>
      </c>
      <c r="J29" s="17">
        <f>VLOOKUP(B29,'[1]Brokers'!$B$9:$M$69,12,0)</f>
        <v>0</v>
      </c>
      <c r="K29" s="17">
        <v>0</v>
      </c>
      <c r="L29" s="17">
        <v>0</v>
      </c>
      <c r="M29" s="18">
        <f>L29+I29+J29+H29+G29</f>
        <v>50317467.3</v>
      </c>
      <c r="N29" s="31">
        <f>(VLOOKUP(B29,'[2]Sheet1'!$B$16:$N$74,13,0))+50317467.3</f>
        <v>1549201916.1399999</v>
      </c>
      <c r="O29" s="34">
        <f>N29/$N$78</f>
        <v>0.006427849725958201</v>
      </c>
      <c r="P29" s="36"/>
    </row>
    <row r="30" spans="1:16" ht="15">
      <c r="A30" s="12">
        <v>12</v>
      </c>
      <c r="B30" s="13" t="s">
        <v>51</v>
      </c>
      <c r="C30" s="14" t="s">
        <v>52</v>
      </c>
      <c r="D30" s="15" t="s">
        <v>14</v>
      </c>
      <c r="E30" s="16" t="s">
        <v>14</v>
      </c>
      <c r="F30" s="16"/>
      <c r="G30" s="17">
        <f>VLOOKUP(B30,'[1]Brokers'!$B$9:$H$69,7,0)</f>
        <v>25740353.89</v>
      </c>
      <c r="H30" s="17">
        <f>VLOOKUP(B30,'[1]Brokers'!$B$9:$X$69,23,0)</f>
        <v>0</v>
      </c>
      <c r="I30" s="40">
        <f>VLOOKUP(B30,'[1]Brokers'!$B$9:$R$69,17,0)</f>
        <v>0</v>
      </c>
      <c r="J30" s="17">
        <f>VLOOKUP(B30,'[1]Brokers'!$B$9:$M$69,12,0)</f>
        <v>0</v>
      </c>
      <c r="K30" s="17">
        <v>0</v>
      </c>
      <c r="L30" s="17">
        <v>0</v>
      </c>
      <c r="M30" s="18">
        <f>L30+I30+J30+H30+G30</f>
        <v>25740353.89</v>
      </c>
      <c r="N30" s="31">
        <f>(VLOOKUP(B30,'[2]Sheet1'!$B$16:$N$74,13,0))+25740353.89</f>
        <v>1407790235.55</v>
      </c>
      <c r="O30" s="34">
        <f>N30/$N$78</f>
        <v>0.005841113405238613</v>
      </c>
      <c r="P30" s="36"/>
    </row>
    <row r="31" spans="1:16" ht="15">
      <c r="A31" s="12">
        <v>16</v>
      </c>
      <c r="B31" s="13" t="s">
        <v>67</v>
      </c>
      <c r="C31" s="14" t="s">
        <v>68</v>
      </c>
      <c r="D31" s="15" t="s">
        <v>14</v>
      </c>
      <c r="E31" s="16"/>
      <c r="F31" s="16"/>
      <c r="G31" s="17">
        <f>VLOOKUP(B31,'[1]Brokers'!$B$9:$H$69,7,0)</f>
        <v>169028868</v>
      </c>
      <c r="H31" s="17">
        <f>VLOOKUP(B31,'[1]Brokers'!$B$9:$X$69,23,0)</f>
        <v>0</v>
      </c>
      <c r="I31" s="40">
        <f>VLOOKUP(B31,'[1]Brokers'!$B$9:$R$69,17,0)</f>
        <v>0</v>
      </c>
      <c r="J31" s="17">
        <f>VLOOKUP(B31,'[1]Brokers'!$B$9:$M$69,12,0)</f>
        <v>0</v>
      </c>
      <c r="K31" s="17">
        <v>0</v>
      </c>
      <c r="L31" s="17">
        <v>0</v>
      </c>
      <c r="M31" s="18">
        <f>L31+I31+J31+H31+G31</f>
        <v>169028868</v>
      </c>
      <c r="N31" s="31">
        <f>(VLOOKUP(B31,'[2]Sheet1'!$B$16:$N$74,13,0))+169028868</f>
        <v>980695749.9300001</v>
      </c>
      <c r="O31" s="34">
        <f>N31/$N$78</f>
        <v>0.004069040221136841</v>
      </c>
      <c r="P31" s="36"/>
    </row>
    <row r="32" spans="1:16" ht="15">
      <c r="A32" s="12">
        <v>15</v>
      </c>
      <c r="B32" s="13" t="s">
        <v>108</v>
      </c>
      <c r="C32" s="14" t="s">
        <v>109</v>
      </c>
      <c r="D32" s="15" t="s">
        <v>14</v>
      </c>
      <c r="E32" s="16"/>
      <c r="F32" s="16"/>
      <c r="G32" s="17">
        <f>VLOOKUP(B32,'[1]Brokers'!$B$9:$H$69,7,0)</f>
        <v>26754442</v>
      </c>
      <c r="H32" s="17">
        <f>VLOOKUP(B32,'[1]Brokers'!$B$9:$X$69,23,0)</f>
        <v>0</v>
      </c>
      <c r="I32" s="40">
        <f>VLOOKUP(B32,'[1]Brokers'!$B$9:$R$69,17,0)</f>
        <v>0</v>
      </c>
      <c r="J32" s="17">
        <f>VLOOKUP(B32,'[1]Brokers'!$B$9:$M$69,12,0)</f>
        <v>0</v>
      </c>
      <c r="K32" s="17">
        <v>0</v>
      </c>
      <c r="L32" s="17">
        <v>0</v>
      </c>
      <c r="M32" s="18">
        <f>L32+I32+J32+H32+G32</f>
        <v>26754442</v>
      </c>
      <c r="N32" s="31">
        <f>(VLOOKUP(B32,'[2]Sheet1'!$B$16:$N$74,13,0))+26754442</f>
        <v>970969100.01</v>
      </c>
      <c r="O32" s="34">
        <f>N32/$N$78</f>
        <v>0.004028683026008563</v>
      </c>
      <c r="P32" s="36"/>
    </row>
    <row r="33" spans="1:16" ht="15">
      <c r="A33" s="12">
        <v>17</v>
      </c>
      <c r="B33" s="13" t="s">
        <v>82</v>
      </c>
      <c r="C33" s="14" t="s">
        <v>83</v>
      </c>
      <c r="D33" s="15" t="s">
        <v>14</v>
      </c>
      <c r="E33" s="16"/>
      <c r="F33" s="16"/>
      <c r="G33" s="17">
        <f>VLOOKUP(B33,'[1]Brokers'!$B$9:$H$69,7,0)</f>
        <v>1161686</v>
      </c>
      <c r="H33" s="17">
        <f>VLOOKUP(B33,'[1]Brokers'!$B$9:$X$69,23,0)</f>
        <v>0</v>
      </c>
      <c r="I33" s="40">
        <f>VLOOKUP(B33,'[1]Brokers'!$B$9:$R$69,17,0)</f>
        <v>0</v>
      </c>
      <c r="J33" s="17">
        <f>VLOOKUP(B33,'[1]Brokers'!$B$9:$M$69,12,0)</f>
        <v>0</v>
      </c>
      <c r="K33" s="17">
        <v>0</v>
      </c>
      <c r="L33" s="17">
        <v>0</v>
      </c>
      <c r="M33" s="18">
        <f>L33+I33+J33+H33+G33</f>
        <v>1161686</v>
      </c>
      <c r="N33" s="31">
        <f>(VLOOKUP(B33,'[2]Sheet1'!$B$16:$N$74,13,0))+1161686</f>
        <v>847458702.3399999</v>
      </c>
      <c r="O33" s="34">
        <f>N33/$N$78</f>
        <v>0.0035162215659851987</v>
      </c>
      <c r="P33" s="36"/>
    </row>
    <row r="34" spans="1:16" ht="15">
      <c r="A34" s="12">
        <v>18</v>
      </c>
      <c r="B34" s="13" t="s">
        <v>47</v>
      </c>
      <c r="C34" s="14" t="s">
        <v>48</v>
      </c>
      <c r="D34" s="15" t="s">
        <v>14</v>
      </c>
      <c r="E34" s="16"/>
      <c r="F34" s="16"/>
      <c r="G34" s="17">
        <f>VLOOKUP(B34,'[1]Brokers'!$B$9:$H$69,7,0)</f>
        <v>74090120.07</v>
      </c>
      <c r="H34" s="17">
        <f>VLOOKUP(B34,'[1]Brokers'!$B$9:$X$69,23,0)</f>
        <v>0</v>
      </c>
      <c r="I34" s="40">
        <f>VLOOKUP(B34,'[1]Brokers'!$B$9:$R$69,17,0)</f>
        <v>0</v>
      </c>
      <c r="J34" s="17">
        <f>VLOOKUP(B34,'[1]Brokers'!$B$9:$M$69,12,0)</f>
        <v>0</v>
      </c>
      <c r="K34" s="17">
        <v>0</v>
      </c>
      <c r="L34" s="17">
        <v>0</v>
      </c>
      <c r="M34" s="18">
        <f>L34+I34+J34+H34+G34</f>
        <v>74090120.07</v>
      </c>
      <c r="N34" s="31">
        <f>(VLOOKUP(B34,'[2]Sheet1'!$B$16:$N$74,13,0))+74090120.07</f>
        <v>720356667.72</v>
      </c>
      <c r="O34" s="34">
        <f>N34/$N$78</f>
        <v>0.0029888579151342368</v>
      </c>
      <c r="P34" s="36"/>
    </row>
    <row r="35" spans="1:16" ht="15">
      <c r="A35" s="12">
        <v>19</v>
      </c>
      <c r="B35" s="13" t="s">
        <v>61</v>
      </c>
      <c r="C35" s="14" t="s">
        <v>62</v>
      </c>
      <c r="D35" s="15" t="s">
        <v>14</v>
      </c>
      <c r="E35" s="16" t="s">
        <v>14</v>
      </c>
      <c r="F35" s="16" t="s">
        <v>14</v>
      </c>
      <c r="G35" s="17">
        <f>VLOOKUP(B35,'[1]Brokers'!$B$9:$H$69,7,0)</f>
        <v>3165983</v>
      </c>
      <c r="H35" s="17">
        <f>VLOOKUP(B35,'[1]Brokers'!$B$9:$X$69,23,0)</f>
        <v>0</v>
      </c>
      <c r="I35" s="40">
        <f>VLOOKUP(B35,'[1]Brokers'!$B$9:$R$69,17,0)</f>
        <v>0</v>
      </c>
      <c r="J35" s="17">
        <f>VLOOKUP(B35,'[1]Brokers'!$B$9:$M$69,12,0)</f>
        <v>0</v>
      </c>
      <c r="K35" s="17">
        <v>0</v>
      </c>
      <c r="L35" s="17">
        <v>0</v>
      </c>
      <c r="M35" s="18">
        <f>L35+I35+J35+H35+G35</f>
        <v>3165983</v>
      </c>
      <c r="N35" s="31">
        <f>(VLOOKUP(B35,'[2]Sheet1'!$B$16:$N$74,13,0))+3165983</f>
        <v>660308110.47</v>
      </c>
      <c r="O35" s="34">
        <f>N35/$N$78</f>
        <v>0.002739708273475314</v>
      </c>
      <c r="P35" s="36"/>
    </row>
    <row r="36" spans="1:16" ht="15">
      <c r="A36" s="12">
        <v>20</v>
      </c>
      <c r="B36" s="13" t="s">
        <v>59</v>
      </c>
      <c r="C36" s="14" t="s">
        <v>60</v>
      </c>
      <c r="D36" s="15" t="s">
        <v>14</v>
      </c>
      <c r="E36" s="16"/>
      <c r="F36" s="16"/>
      <c r="G36" s="17">
        <f>VLOOKUP(B36,'[1]Brokers'!$B$9:$H$69,7,0)</f>
        <v>9109035.67</v>
      </c>
      <c r="H36" s="17">
        <f>VLOOKUP(B36,'[1]Brokers'!$B$9:$X$69,23,0)</f>
        <v>0</v>
      </c>
      <c r="I36" s="40">
        <f>VLOOKUP(B36,'[1]Brokers'!$B$9:$R$69,17,0)</f>
        <v>0</v>
      </c>
      <c r="J36" s="17">
        <f>VLOOKUP(B36,'[1]Brokers'!$B$9:$M$69,12,0)</f>
        <v>0</v>
      </c>
      <c r="K36" s="17">
        <v>0</v>
      </c>
      <c r="L36" s="17">
        <v>0</v>
      </c>
      <c r="M36" s="18">
        <f>L36+I36+J36+H36+G36</f>
        <v>9109035.67</v>
      </c>
      <c r="N36" s="31">
        <f>(VLOOKUP(B36,'[2]Sheet1'!$B$16:$N$74,13,0))+9109035.67</f>
        <v>650289916.7199999</v>
      </c>
      <c r="O36" s="34">
        <f>N36/$N$78</f>
        <v>0.002698141423292878</v>
      </c>
      <c r="P36" s="36"/>
    </row>
    <row r="37" spans="1:16" ht="15">
      <c r="A37" s="12">
        <v>22</v>
      </c>
      <c r="B37" s="13" t="s">
        <v>94</v>
      </c>
      <c r="C37" s="14" t="s">
        <v>95</v>
      </c>
      <c r="D37" s="15" t="s">
        <v>14</v>
      </c>
      <c r="E37" s="16" t="s">
        <v>14</v>
      </c>
      <c r="F37" s="16" t="s">
        <v>14</v>
      </c>
      <c r="G37" s="17">
        <f>VLOOKUP(B37,'[1]Brokers'!$B$9:$H$69,7,0)</f>
        <v>13191696.5</v>
      </c>
      <c r="H37" s="17">
        <f>VLOOKUP(B37,'[1]Brokers'!$B$9:$X$69,23,0)</f>
        <v>0</v>
      </c>
      <c r="I37" s="40">
        <f>VLOOKUP(B37,'[1]Brokers'!$B$9:$R$69,17,0)</f>
        <v>0</v>
      </c>
      <c r="J37" s="17">
        <f>VLOOKUP(B37,'[1]Brokers'!$B$9:$M$69,12,0)</f>
        <v>0</v>
      </c>
      <c r="K37" s="17">
        <v>0</v>
      </c>
      <c r="L37" s="17">
        <v>0</v>
      </c>
      <c r="M37" s="18">
        <f>L37+I37+J37+H37+G37</f>
        <v>13191696.5</v>
      </c>
      <c r="N37" s="31">
        <f>(VLOOKUP(B37,'[2]Sheet1'!$B$16:$N$74,13,0))+13191696.5</f>
        <v>596485955.46</v>
      </c>
      <c r="O37" s="34">
        <f>N37/$N$78</f>
        <v>0.002474901460808025</v>
      </c>
      <c r="P37" s="36"/>
    </row>
    <row r="38" spans="1:16" ht="15">
      <c r="A38" s="12">
        <v>21</v>
      </c>
      <c r="B38" s="13" t="s">
        <v>43</v>
      </c>
      <c r="C38" s="14" t="s">
        <v>44</v>
      </c>
      <c r="D38" s="15" t="s">
        <v>14</v>
      </c>
      <c r="E38" s="16" t="s">
        <v>14</v>
      </c>
      <c r="F38" s="16"/>
      <c r="G38" s="17">
        <f>VLOOKUP(B38,'[1]Brokers'!$B$9:$H$69,7,0)</f>
        <v>20527250</v>
      </c>
      <c r="H38" s="17">
        <f>VLOOKUP(B38,'[1]Brokers'!$B$9:$X$69,23,0)</f>
        <v>0</v>
      </c>
      <c r="I38" s="40">
        <f>VLOOKUP(B38,'[1]Brokers'!$B$9:$R$69,17,0)</f>
        <v>0</v>
      </c>
      <c r="J38" s="17">
        <f>VLOOKUP(B38,'[1]Brokers'!$B$9:$M$69,12,0)</f>
        <v>0</v>
      </c>
      <c r="K38" s="17">
        <v>0</v>
      </c>
      <c r="L38" s="17">
        <v>0</v>
      </c>
      <c r="M38" s="18">
        <f>L38+I38+J38+H38+G38</f>
        <v>20527250</v>
      </c>
      <c r="N38" s="31">
        <f>(VLOOKUP(B38,'[2]Sheet1'!$B$16:$N$74,13,0))+20527250</f>
        <v>503135095.31000006</v>
      </c>
      <c r="O38" s="34">
        <f>N38/$N$78</f>
        <v>0.0020875760291895204</v>
      </c>
      <c r="P38" s="36"/>
    </row>
    <row r="39" spans="1:16" ht="15">
      <c r="A39" s="12">
        <v>24</v>
      </c>
      <c r="B39" s="13" t="s">
        <v>122</v>
      </c>
      <c r="C39" s="14" t="s">
        <v>123</v>
      </c>
      <c r="D39" s="15" t="s">
        <v>14</v>
      </c>
      <c r="E39" s="16"/>
      <c r="F39" s="16"/>
      <c r="G39" s="17">
        <f>VLOOKUP(B39,'[1]Brokers'!$B$9:$H$69,7,0)</f>
        <v>7992890</v>
      </c>
      <c r="H39" s="17">
        <f>VLOOKUP(B39,'[1]Brokers'!$B$9:$X$69,23,0)</f>
        <v>0</v>
      </c>
      <c r="I39" s="40">
        <f>VLOOKUP(B39,'[1]Brokers'!$B$9:$R$69,17,0)</f>
        <v>0</v>
      </c>
      <c r="J39" s="17">
        <f>VLOOKUP(B39,'[1]Brokers'!$B$9:$M$69,12,0)</f>
        <v>0</v>
      </c>
      <c r="K39" s="17">
        <v>0</v>
      </c>
      <c r="L39" s="17">
        <v>0</v>
      </c>
      <c r="M39" s="18">
        <f>L39+I39+J39+H39+G39</f>
        <v>7992890</v>
      </c>
      <c r="N39" s="31">
        <f>(VLOOKUP(B39,'[2]Sheet1'!$B$16:$N$74,13,0))+7992890</f>
        <v>502667560.15999997</v>
      </c>
      <c r="O39" s="34">
        <f>N39/$N$78</f>
        <v>0.0020856361621815504</v>
      </c>
      <c r="P39" s="36"/>
    </row>
    <row r="40" spans="1:16" ht="15">
      <c r="A40" s="12">
        <v>23</v>
      </c>
      <c r="B40" s="13" t="s">
        <v>55</v>
      </c>
      <c r="C40" s="14" t="s">
        <v>56</v>
      </c>
      <c r="D40" s="15" t="s">
        <v>14</v>
      </c>
      <c r="E40" s="16"/>
      <c r="F40" s="16"/>
      <c r="G40" s="17">
        <f>VLOOKUP(B40,'[1]Brokers'!$B$9:$H$69,7,0)</f>
        <v>14821942</v>
      </c>
      <c r="H40" s="17">
        <f>VLOOKUP(B40,'[1]Brokers'!$B$9:$X$69,23,0)</f>
        <v>0</v>
      </c>
      <c r="I40" s="40">
        <f>VLOOKUP(B40,'[1]Brokers'!$B$9:$R$69,17,0)</f>
        <v>0</v>
      </c>
      <c r="J40" s="17">
        <f>VLOOKUP(B40,'[1]Brokers'!$B$9:$M$69,12,0)</f>
        <v>0</v>
      </c>
      <c r="K40" s="17">
        <v>0</v>
      </c>
      <c r="L40" s="17">
        <v>0</v>
      </c>
      <c r="M40" s="18">
        <f>L40+I40+J40+H40+G40</f>
        <v>14821942</v>
      </c>
      <c r="N40" s="31">
        <f>(VLOOKUP(B40,'[2]Sheet1'!$B$16:$N$74,13,0))+14821942</f>
        <v>402267332.91999996</v>
      </c>
      <c r="O40" s="34">
        <f>N40/$N$78</f>
        <v>0.001669061946498451</v>
      </c>
      <c r="P40" s="36"/>
    </row>
    <row r="41" spans="1:16" ht="15">
      <c r="A41" s="12">
        <v>27</v>
      </c>
      <c r="B41" s="13" t="s">
        <v>69</v>
      </c>
      <c r="C41" s="14" t="s">
        <v>70</v>
      </c>
      <c r="D41" s="15" t="s">
        <v>14</v>
      </c>
      <c r="E41" s="16"/>
      <c r="F41" s="16"/>
      <c r="G41" s="17">
        <f>VLOOKUP(B41,'[1]Brokers'!$B$9:$H$69,7,0)</f>
        <v>1418526.3</v>
      </c>
      <c r="H41" s="17">
        <f>VLOOKUP(B41,'[1]Brokers'!$B$9:$X$69,23,0)</f>
        <v>0</v>
      </c>
      <c r="I41" s="40">
        <f>VLOOKUP(B41,'[1]Brokers'!$B$9:$R$69,17,0)</f>
        <v>0</v>
      </c>
      <c r="J41" s="17">
        <f>VLOOKUP(B41,'[1]Brokers'!$B$9:$M$69,12,0)</f>
        <v>0</v>
      </c>
      <c r="K41" s="17">
        <v>0</v>
      </c>
      <c r="L41" s="17">
        <v>0</v>
      </c>
      <c r="M41" s="18">
        <f>L41+I41+J41+H41+G41</f>
        <v>1418526.3</v>
      </c>
      <c r="N41" s="31">
        <f>(VLOOKUP(B41,'[2]Sheet1'!$B$16:$N$74,13,0))+1418526.3</f>
        <v>389932719.14</v>
      </c>
      <c r="O41" s="34">
        <f>N41/$N$78</f>
        <v>0.0016178839541531277</v>
      </c>
      <c r="P41" s="36"/>
    </row>
    <row r="42" spans="1:16" ht="15">
      <c r="A42" s="12">
        <v>26</v>
      </c>
      <c r="B42" s="13" t="s">
        <v>17</v>
      </c>
      <c r="C42" s="14" t="s">
        <v>18</v>
      </c>
      <c r="D42" s="15" t="s">
        <v>14</v>
      </c>
      <c r="E42" s="16" t="s">
        <v>14</v>
      </c>
      <c r="F42" s="16" t="s">
        <v>14</v>
      </c>
      <c r="G42" s="17">
        <f>VLOOKUP(B42,'[1]Brokers'!$B$9:$H$69,7,0)</f>
        <v>10785440</v>
      </c>
      <c r="H42" s="17">
        <f>VLOOKUP(B42,'[1]Brokers'!$B$9:$X$69,23,0)</f>
        <v>0</v>
      </c>
      <c r="I42" s="40">
        <f>VLOOKUP(B42,'[1]Brokers'!$B$9:$R$69,17,0)</f>
        <v>0</v>
      </c>
      <c r="J42" s="17">
        <f>VLOOKUP(B42,'[1]Brokers'!$B$9:$M$69,12,0)</f>
        <v>0</v>
      </c>
      <c r="K42" s="17">
        <v>0</v>
      </c>
      <c r="L42" s="17">
        <v>0</v>
      </c>
      <c r="M42" s="18">
        <f>L42+I42+J42+H42+G42</f>
        <v>10785440</v>
      </c>
      <c r="N42" s="31">
        <f>(VLOOKUP(B42,'[2]Sheet1'!$B$16:$N$74,13,0))+10785440</f>
        <v>388997290.64000005</v>
      </c>
      <c r="O42" s="34">
        <f>N42/$N$78</f>
        <v>0.0016140027339166076</v>
      </c>
      <c r="P42" s="36"/>
    </row>
    <row r="43" spans="1:16" ht="15">
      <c r="A43" s="12">
        <v>25</v>
      </c>
      <c r="B43" s="13" t="s">
        <v>77</v>
      </c>
      <c r="C43" s="14" t="s">
        <v>78</v>
      </c>
      <c r="D43" s="15" t="s">
        <v>14</v>
      </c>
      <c r="E43" s="16"/>
      <c r="F43" s="16"/>
      <c r="G43" s="17">
        <f>VLOOKUP(B43,'[1]Brokers'!$B$9:$H$69,7,0)</f>
        <v>0</v>
      </c>
      <c r="H43" s="17">
        <f>VLOOKUP(B43,'[1]Brokers'!$B$9:$X$69,23,0)</f>
        <v>0</v>
      </c>
      <c r="I43" s="40">
        <f>VLOOKUP(B43,'[1]Brokers'!$B$9:$R$69,17,0)</f>
        <v>0</v>
      </c>
      <c r="J43" s="17">
        <f>VLOOKUP(B43,'[1]Brokers'!$B$9:$M$69,12,0)</f>
        <v>0</v>
      </c>
      <c r="K43" s="17">
        <v>0</v>
      </c>
      <c r="L43" s="17">
        <v>0</v>
      </c>
      <c r="M43" s="18">
        <f>L43+I43+J43+H43+G43</f>
        <v>0</v>
      </c>
      <c r="N43" s="31">
        <f>(VLOOKUP(B43,'[2]Sheet1'!$B$16:$N$74,13,0))+0</f>
        <v>371834263.88000005</v>
      </c>
      <c r="O43" s="34">
        <f>N43/$N$78</f>
        <v>0.0015427909985666047</v>
      </c>
      <c r="P43" s="36"/>
    </row>
    <row r="44" spans="1:16" ht="15">
      <c r="A44" s="12">
        <v>28</v>
      </c>
      <c r="B44" s="13" t="s">
        <v>33</v>
      </c>
      <c r="C44" s="14" t="s">
        <v>34</v>
      </c>
      <c r="D44" s="15" t="s">
        <v>14</v>
      </c>
      <c r="E44" s="16" t="s">
        <v>14</v>
      </c>
      <c r="F44" s="16"/>
      <c r="G44" s="17">
        <f>VLOOKUP(B44,'[1]Brokers'!$B$9:$H$69,7,0)</f>
        <v>28856437.5</v>
      </c>
      <c r="H44" s="17">
        <f>VLOOKUP(B44,'[1]Brokers'!$B$9:$X$69,23,0)</f>
        <v>0</v>
      </c>
      <c r="I44" s="40">
        <f>VLOOKUP(B44,'[1]Brokers'!$B$9:$R$69,17,0)</f>
        <v>0</v>
      </c>
      <c r="J44" s="17">
        <f>VLOOKUP(B44,'[1]Brokers'!$B$9:$M$69,12,0)</f>
        <v>0</v>
      </c>
      <c r="K44" s="17">
        <v>0</v>
      </c>
      <c r="L44" s="17">
        <v>0</v>
      </c>
      <c r="M44" s="18">
        <f>L44+I44+J44+H44+G44</f>
        <v>28856437.5</v>
      </c>
      <c r="N44" s="31">
        <f>(VLOOKUP(B44,'[2]Sheet1'!$B$16:$N$74,13,0))+28856437.5</f>
        <v>320766181.45</v>
      </c>
      <c r="O44" s="34">
        <f>N44/$N$78</f>
        <v>0.0013309025699292478</v>
      </c>
      <c r="P44" s="36"/>
    </row>
    <row r="45" spans="1:16" ht="15">
      <c r="A45" s="12">
        <v>29</v>
      </c>
      <c r="B45" s="13" t="s">
        <v>73</v>
      </c>
      <c r="C45" s="14" t="s">
        <v>74</v>
      </c>
      <c r="D45" s="15" t="s">
        <v>14</v>
      </c>
      <c r="E45" s="16"/>
      <c r="F45" s="16"/>
      <c r="G45" s="17">
        <f>VLOOKUP(B45,'[1]Brokers'!$B$9:$H$69,7,0)</f>
        <v>2002715</v>
      </c>
      <c r="H45" s="17">
        <f>VLOOKUP(B45,'[1]Brokers'!$B$9:$X$69,23,0)</f>
        <v>0</v>
      </c>
      <c r="I45" s="40">
        <f>VLOOKUP(B45,'[1]Brokers'!$B$9:$R$69,17,0)</f>
        <v>0</v>
      </c>
      <c r="J45" s="17">
        <f>VLOOKUP(B45,'[1]Brokers'!$B$9:$M$69,12,0)</f>
        <v>0</v>
      </c>
      <c r="K45" s="17">
        <v>0</v>
      </c>
      <c r="L45" s="17">
        <v>0</v>
      </c>
      <c r="M45" s="18">
        <f>L45+I45+J45+H45+G45</f>
        <v>2002715</v>
      </c>
      <c r="N45" s="31">
        <f>(VLOOKUP(B45,'[2]Sheet1'!$B$16:$N$74,13,0))+2002715</f>
        <v>269838550.86</v>
      </c>
      <c r="O45" s="34">
        <f>N45/$N$78</f>
        <v>0.0011195968951032886</v>
      </c>
      <c r="P45" s="36"/>
    </row>
    <row r="46" spans="1:16" ht="15">
      <c r="A46" s="12">
        <v>32</v>
      </c>
      <c r="B46" s="13" t="s">
        <v>49</v>
      </c>
      <c r="C46" s="14" t="s">
        <v>50</v>
      </c>
      <c r="D46" s="15" t="s">
        <v>14</v>
      </c>
      <c r="E46" s="16"/>
      <c r="F46" s="16"/>
      <c r="G46" s="17">
        <f>VLOOKUP(B46,'[1]Brokers'!$B$9:$H$69,7,0)</f>
        <v>4072131</v>
      </c>
      <c r="H46" s="17">
        <f>VLOOKUP(B46,'[1]Brokers'!$B$9:$X$69,23,0)</f>
        <v>0</v>
      </c>
      <c r="I46" s="40">
        <f>VLOOKUP(B46,'[1]Brokers'!$B$9:$R$69,17,0)</f>
        <v>0</v>
      </c>
      <c r="J46" s="17">
        <f>VLOOKUP(B46,'[1]Brokers'!$B$9:$M$69,12,0)</f>
        <v>0</v>
      </c>
      <c r="K46" s="17">
        <v>0</v>
      </c>
      <c r="L46" s="17">
        <v>0</v>
      </c>
      <c r="M46" s="18">
        <f>L46+I46+J46+H46+G46</f>
        <v>4072131</v>
      </c>
      <c r="N46" s="31">
        <f>(VLOOKUP(B46,'[2]Sheet1'!$B$16:$N$74,13,0))+4072131</f>
        <v>220335460.91</v>
      </c>
      <c r="O46" s="34">
        <f>N46/$N$78</f>
        <v>0.0009142018333917612</v>
      </c>
      <c r="P46" s="36"/>
    </row>
    <row r="47" spans="1:16" ht="15">
      <c r="A47" s="12">
        <v>30</v>
      </c>
      <c r="B47" s="13" t="s">
        <v>53</v>
      </c>
      <c r="C47" s="14" t="s">
        <v>54</v>
      </c>
      <c r="D47" s="15" t="s">
        <v>14</v>
      </c>
      <c r="E47" s="16"/>
      <c r="F47" s="16"/>
      <c r="G47" s="17">
        <f>VLOOKUP(B47,'[1]Brokers'!$B$9:$H$69,7,0)</f>
        <v>14556060.7</v>
      </c>
      <c r="H47" s="17">
        <f>VLOOKUP(B47,'[1]Brokers'!$B$9:$X$69,23,0)</f>
        <v>0</v>
      </c>
      <c r="I47" s="40">
        <f>VLOOKUP(B47,'[1]Brokers'!$B$9:$R$69,17,0)</f>
        <v>0</v>
      </c>
      <c r="J47" s="17">
        <f>VLOOKUP(B47,'[1]Brokers'!$B$9:$M$69,12,0)</f>
        <v>0</v>
      </c>
      <c r="K47" s="17">
        <v>0</v>
      </c>
      <c r="L47" s="17">
        <v>0</v>
      </c>
      <c r="M47" s="18">
        <f>L47+I47+J47+H47+G47</f>
        <v>14556060.7</v>
      </c>
      <c r="N47" s="31">
        <f>(VLOOKUP(B47,'[2]Sheet1'!$B$16:$N$74,13,0))+14556060.7</f>
        <v>203522653.52999997</v>
      </c>
      <c r="O47" s="34">
        <f>N47/$N$78</f>
        <v>0.0008444432059435138</v>
      </c>
      <c r="P47" s="36"/>
    </row>
    <row r="48" spans="1:16" ht="15">
      <c r="A48" s="12">
        <v>34</v>
      </c>
      <c r="B48" s="13" t="s">
        <v>37</v>
      </c>
      <c r="C48" s="14" t="s">
        <v>38</v>
      </c>
      <c r="D48" s="15" t="s">
        <v>14</v>
      </c>
      <c r="E48" s="16" t="s">
        <v>14</v>
      </c>
      <c r="F48" s="16" t="s">
        <v>14</v>
      </c>
      <c r="G48" s="17">
        <f>VLOOKUP(B48,'[1]Brokers'!$B$9:$H$69,7,0)</f>
        <v>46155675</v>
      </c>
      <c r="H48" s="17">
        <f>VLOOKUP(B48,'[1]Brokers'!$B$9:$X$69,23,0)</f>
        <v>0</v>
      </c>
      <c r="I48" s="40">
        <f>VLOOKUP(B48,'[1]Brokers'!$B$9:$R$69,17,0)</f>
        <v>0</v>
      </c>
      <c r="J48" s="17">
        <f>VLOOKUP(B48,'[1]Brokers'!$B$9:$M$69,12,0)</f>
        <v>0</v>
      </c>
      <c r="K48" s="17">
        <v>0</v>
      </c>
      <c r="L48" s="17">
        <v>0</v>
      </c>
      <c r="M48" s="18">
        <f>L48+I48+J48+H48+G48</f>
        <v>46155675</v>
      </c>
      <c r="N48" s="31">
        <f>(VLOOKUP(B48,'[2]Sheet1'!$B$16:$N$74,13,0))+46155675</f>
        <v>180868703.76999998</v>
      </c>
      <c r="O48" s="34">
        <f>N48/$N$78</f>
        <v>0.000750448883292852</v>
      </c>
      <c r="P48" s="36"/>
    </row>
    <row r="49" spans="1:16" ht="15">
      <c r="A49" s="12">
        <v>31</v>
      </c>
      <c r="B49" s="13" t="s">
        <v>75</v>
      </c>
      <c r="C49" s="14" t="s">
        <v>76</v>
      </c>
      <c r="D49" s="15" t="s">
        <v>14</v>
      </c>
      <c r="E49" s="16"/>
      <c r="F49" s="16"/>
      <c r="G49" s="17">
        <f>VLOOKUP(B49,'[1]Brokers'!$B$9:$H$69,7,0)</f>
        <v>0</v>
      </c>
      <c r="H49" s="17">
        <f>VLOOKUP(B49,'[1]Brokers'!$B$9:$X$69,23,0)</f>
        <v>0</v>
      </c>
      <c r="I49" s="40">
        <f>VLOOKUP(B49,'[1]Brokers'!$B$9:$R$69,17,0)</f>
        <v>0</v>
      </c>
      <c r="J49" s="17">
        <f>VLOOKUP(B49,'[1]Brokers'!$B$9:$M$69,12,0)</f>
        <v>0</v>
      </c>
      <c r="K49" s="17">
        <v>0</v>
      </c>
      <c r="L49" s="17">
        <v>0</v>
      </c>
      <c r="M49" s="18">
        <f>L49+I49+J49+H49+G49</f>
        <v>0</v>
      </c>
      <c r="N49" s="31">
        <f>(VLOOKUP(B49,'[2]Sheet1'!$B$16:$N$74,13,0))+0</f>
        <v>176331062</v>
      </c>
      <c r="O49" s="34">
        <f>N49/$N$78</f>
        <v>0.0007316215896367325</v>
      </c>
      <c r="P49" s="36"/>
    </row>
    <row r="50" spans="1:16" ht="15">
      <c r="A50" s="12">
        <v>33</v>
      </c>
      <c r="B50" s="13" t="s">
        <v>65</v>
      </c>
      <c r="C50" s="14" t="s">
        <v>66</v>
      </c>
      <c r="D50" s="15" t="s">
        <v>14</v>
      </c>
      <c r="E50" s="16"/>
      <c r="F50" s="16"/>
      <c r="G50" s="17">
        <f>VLOOKUP(B50,'[1]Brokers'!$B$9:$H$69,7,0)</f>
        <v>1701000</v>
      </c>
      <c r="H50" s="17">
        <f>VLOOKUP(B50,'[1]Brokers'!$B$9:$X$69,23,0)</f>
        <v>0</v>
      </c>
      <c r="I50" s="40">
        <f>VLOOKUP(B50,'[1]Brokers'!$B$9:$R$69,17,0)</f>
        <v>0</v>
      </c>
      <c r="J50" s="17">
        <f>VLOOKUP(B50,'[1]Brokers'!$B$9:$M$69,12,0)</f>
        <v>0</v>
      </c>
      <c r="K50" s="17">
        <v>0</v>
      </c>
      <c r="L50" s="17">
        <v>0</v>
      </c>
      <c r="M50" s="18">
        <f>L50+I50+J50+H50+G50</f>
        <v>1701000</v>
      </c>
      <c r="N50" s="31">
        <f>(VLOOKUP(B50,'[2]Sheet1'!$B$16:$N$74,13,0))+1701000</f>
        <v>151998899.26999998</v>
      </c>
      <c r="O50" s="34">
        <f>N50/$N$78</f>
        <v>0.0006306641328284574</v>
      </c>
      <c r="P50" s="36"/>
    </row>
    <row r="51" spans="1:16" ht="15">
      <c r="A51" s="12">
        <v>35</v>
      </c>
      <c r="B51" s="13" t="s">
        <v>80</v>
      </c>
      <c r="C51" s="14" t="s">
        <v>81</v>
      </c>
      <c r="D51" s="15" t="s">
        <v>14</v>
      </c>
      <c r="E51" s="16"/>
      <c r="F51" s="16"/>
      <c r="G51" s="17">
        <f>VLOOKUP(B51,'[1]Brokers'!$B$9:$H$69,7,0)</f>
        <v>3179902</v>
      </c>
      <c r="H51" s="17">
        <f>VLOOKUP(B51,'[1]Brokers'!$B$9:$X$69,23,0)</f>
        <v>0</v>
      </c>
      <c r="I51" s="40">
        <f>VLOOKUP(B51,'[1]Brokers'!$B$9:$R$69,17,0)</f>
        <v>0</v>
      </c>
      <c r="J51" s="17">
        <f>VLOOKUP(B51,'[1]Brokers'!$B$9:$M$69,12,0)</f>
        <v>0</v>
      </c>
      <c r="K51" s="17">
        <v>0</v>
      </c>
      <c r="L51" s="17">
        <v>0</v>
      </c>
      <c r="M51" s="18">
        <f>L51+I51+J51+H51+G51</f>
        <v>3179902</v>
      </c>
      <c r="N51" s="31">
        <f>(VLOOKUP(B51,'[2]Sheet1'!$B$16:$N$74,13,0))+3179902</f>
        <v>143529134.84</v>
      </c>
      <c r="O51" s="34">
        <f>N51/$N$78</f>
        <v>0.0005955219267653803</v>
      </c>
      <c r="P51" s="36"/>
    </row>
    <row r="52" spans="1:17" s="20" customFormat="1" ht="15">
      <c r="A52" s="12">
        <v>37</v>
      </c>
      <c r="B52" s="13" t="s">
        <v>63</v>
      </c>
      <c r="C52" s="14" t="s">
        <v>64</v>
      </c>
      <c r="D52" s="15" t="s">
        <v>14</v>
      </c>
      <c r="E52" s="16"/>
      <c r="F52" s="16"/>
      <c r="G52" s="17">
        <f>VLOOKUP(B52,'[1]Brokers'!$B$9:$H$69,7,0)</f>
        <v>2967840</v>
      </c>
      <c r="H52" s="17">
        <f>VLOOKUP(B52,'[1]Brokers'!$B$9:$X$69,23,0)</f>
        <v>0</v>
      </c>
      <c r="I52" s="40">
        <f>VLOOKUP(B52,'[1]Brokers'!$B$9:$R$69,17,0)</f>
        <v>0</v>
      </c>
      <c r="J52" s="17">
        <f>VLOOKUP(B52,'[1]Brokers'!$B$9:$M$69,12,0)</f>
        <v>0</v>
      </c>
      <c r="K52" s="17">
        <v>0</v>
      </c>
      <c r="L52" s="17">
        <v>0</v>
      </c>
      <c r="M52" s="18">
        <f>L52+I52+J52+H52+G52</f>
        <v>2967840</v>
      </c>
      <c r="N52" s="31">
        <f>(VLOOKUP(B52,'[2]Sheet1'!$B$16:$N$74,13,0))+2967840</f>
        <v>133224204.21000001</v>
      </c>
      <c r="O52" s="34">
        <f>N52/$N$78</f>
        <v>0.0005527653662189641</v>
      </c>
      <c r="P52" s="36"/>
      <c r="Q52" s="19"/>
    </row>
    <row r="53" spans="1:16" ht="15">
      <c r="A53" s="12">
        <v>36</v>
      </c>
      <c r="B53" s="13" t="s">
        <v>39</v>
      </c>
      <c r="C53" s="14" t="s">
        <v>40</v>
      </c>
      <c r="D53" s="15" t="s">
        <v>14</v>
      </c>
      <c r="E53" s="16"/>
      <c r="F53" s="16"/>
      <c r="G53" s="17">
        <f>VLOOKUP(B53,'[1]Brokers'!$B$9:$H$69,7,0)</f>
        <v>0</v>
      </c>
      <c r="H53" s="17">
        <f>VLOOKUP(B53,'[1]Brokers'!$B$9:$X$69,23,0)</f>
        <v>0</v>
      </c>
      <c r="I53" s="40">
        <f>VLOOKUP(B53,'[1]Brokers'!$B$9:$R$69,17,0)</f>
        <v>0</v>
      </c>
      <c r="J53" s="17">
        <f>VLOOKUP(B53,'[1]Brokers'!$B$9:$M$69,12,0)</f>
        <v>0</v>
      </c>
      <c r="K53" s="17">
        <v>0</v>
      </c>
      <c r="L53" s="17">
        <v>0</v>
      </c>
      <c r="M53" s="18">
        <f>L53+I53+J53+H53+G53</f>
        <v>0</v>
      </c>
      <c r="N53" s="31">
        <f>(VLOOKUP(B53,'[2]Sheet1'!$B$16:$N$74,13,0))+0</f>
        <v>130154243.60000001</v>
      </c>
      <c r="O53" s="34">
        <f>N53/$N$78</f>
        <v>0.0005400276815697878</v>
      </c>
      <c r="P53" s="36"/>
    </row>
    <row r="54" spans="1:16" ht="15">
      <c r="A54" s="12">
        <v>38</v>
      </c>
      <c r="B54" s="13" t="s">
        <v>88</v>
      </c>
      <c r="C54" s="14" t="s">
        <v>89</v>
      </c>
      <c r="D54" s="15" t="s">
        <v>14</v>
      </c>
      <c r="E54" s="16"/>
      <c r="F54" s="16"/>
      <c r="G54" s="17">
        <f>VLOOKUP(B54,'[1]Brokers'!$B$9:$H$69,7,0)</f>
        <v>480181</v>
      </c>
      <c r="H54" s="17">
        <f>VLOOKUP(B54,'[1]Brokers'!$B$9:$X$69,23,0)</f>
        <v>0</v>
      </c>
      <c r="I54" s="40">
        <f>VLOOKUP(B54,'[1]Brokers'!$B$9:$R$69,17,0)</f>
        <v>0</v>
      </c>
      <c r="J54" s="17">
        <f>VLOOKUP(B54,'[1]Brokers'!$B$9:$M$69,12,0)</f>
        <v>0</v>
      </c>
      <c r="K54" s="17">
        <v>0</v>
      </c>
      <c r="L54" s="17">
        <v>0</v>
      </c>
      <c r="M54" s="18">
        <f>L54+I54+J54+H54+G54</f>
        <v>480181</v>
      </c>
      <c r="N54" s="31">
        <f>(VLOOKUP(B54,'[2]Sheet1'!$B$16:$N$74,13,0))+480181</f>
        <v>86055866.23999998</v>
      </c>
      <c r="O54" s="34">
        <f>N54/$N$78</f>
        <v>0.0003570575084273853</v>
      </c>
      <c r="P54" s="36"/>
    </row>
    <row r="55" spans="1:16" ht="15">
      <c r="A55" s="12">
        <v>39</v>
      </c>
      <c r="B55" s="13" t="s">
        <v>84</v>
      </c>
      <c r="C55" s="14" t="s">
        <v>85</v>
      </c>
      <c r="D55" s="15" t="s">
        <v>14</v>
      </c>
      <c r="E55" s="16" t="s">
        <v>14</v>
      </c>
      <c r="F55" s="16"/>
      <c r="G55" s="17">
        <f>VLOOKUP(B55,'[1]Brokers'!$B$9:$H$69,7,0)</f>
        <v>0</v>
      </c>
      <c r="H55" s="17">
        <f>VLOOKUP(B55,'[1]Brokers'!$B$9:$X$69,23,0)</f>
        <v>0</v>
      </c>
      <c r="I55" s="40">
        <f>VLOOKUP(B55,'[1]Brokers'!$B$9:$R$69,17,0)</f>
        <v>0</v>
      </c>
      <c r="J55" s="17">
        <f>VLOOKUP(B55,'[1]Brokers'!$B$9:$M$69,12,0)</f>
        <v>0</v>
      </c>
      <c r="K55" s="17">
        <v>0</v>
      </c>
      <c r="L55" s="17">
        <v>0</v>
      </c>
      <c r="M55" s="18">
        <f>L55+I55+J55+H55+G55</f>
        <v>0</v>
      </c>
      <c r="N55" s="31">
        <f>(VLOOKUP(B55,'[2]Sheet1'!$B$16:$N$74,13,0))+0</f>
        <v>72756724.97</v>
      </c>
      <c r="O55" s="34">
        <f>N55/$N$78</f>
        <v>0.0003018775601732266</v>
      </c>
      <c r="P55" s="36"/>
    </row>
    <row r="56" spans="1:16" ht="15">
      <c r="A56" s="12">
        <v>40</v>
      </c>
      <c r="B56" s="13" t="s">
        <v>57</v>
      </c>
      <c r="C56" s="14" t="s">
        <v>58</v>
      </c>
      <c r="D56" s="15" t="s">
        <v>14</v>
      </c>
      <c r="E56" s="16" t="s">
        <v>14</v>
      </c>
      <c r="F56" s="16"/>
      <c r="G56" s="17">
        <f>VLOOKUP(B56,'[1]Brokers'!$B$9:$H$69,7,0)</f>
        <v>395000</v>
      </c>
      <c r="H56" s="17">
        <f>VLOOKUP(B56,'[1]Brokers'!$B$9:$X$69,23,0)</f>
        <v>0</v>
      </c>
      <c r="I56" s="40">
        <f>VLOOKUP(B56,'[1]Brokers'!$B$9:$R$69,17,0)</f>
        <v>0</v>
      </c>
      <c r="J56" s="17">
        <f>VLOOKUP(B56,'[1]Brokers'!$B$9:$M$69,12,0)</f>
        <v>0</v>
      </c>
      <c r="K56" s="17">
        <v>0</v>
      </c>
      <c r="L56" s="17">
        <v>0</v>
      </c>
      <c r="M56" s="18">
        <f>L56+I56+J56+H56+G56</f>
        <v>395000</v>
      </c>
      <c r="N56" s="31">
        <f>(VLOOKUP(B56,'[2]Sheet1'!$B$16:$N$74,13,0))+395000</f>
        <v>58538360.419999994</v>
      </c>
      <c r="O56" s="34">
        <f>N56/$N$78</f>
        <v>0.00024288362934721266</v>
      </c>
      <c r="P56" s="36"/>
    </row>
    <row r="57" spans="1:16" ht="15">
      <c r="A57" s="12">
        <v>42</v>
      </c>
      <c r="B57" s="13" t="s">
        <v>135</v>
      </c>
      <c r="C57" s="14" t="s">
        <v>134</v>
      </c>
      <c r="D57" s="15" t="s">
        <v>14</v>
      </c>
      <c r="E57" s="16"/>
      <c r="F57" s="16"/>
      <c r="G57" s="17">
        <f>VLOOKUP(B57,'[1]Brokers'!$B$9:$H$69,7,0)</f>
        <v>6116221</v>
      </c>
      <c r="H57" s="17">
        <f>VLOOKUP(B57,'[1]Brokers'!$B$9:$X$69,23,0)</f>
        <v>0</v>
      </c>
      <c r="I57" s="40">
        <f>VLOOKUP(B57,'[1]Brokers'!$B$9:$R$69,17,0)</f>
        <v>0</v>
      </c>
      <c r="J57" s="17">
        <f>VLOOKUP(B57,'[1]Brokers'!$B$9:$M$69,12,0)</f>
        <v>0</v>
      </c>
      <c r="K57" s="17"/>
      <c r="L57" s="17">
        <v>0</v>
      </c>
      <c r="M57" s="18">
        <f>L57+I57+J57+H57+G57</f>
        <v>6116221</v>
      </c>
      <c r="N57" s="31">
        <f>(VLOOKUP(B57,'[2]Sheet1'!$B$16:$N$74,13,0))+6116221</f>
        <v>55971673.15</v>
      </c>
      <c r="O57" s="34">
        <f>N57/$N$78</f>
        <v>0.0002322340943232714</v>
      </c>
      <c r="P57" s="36"/>
    </row>
    <row r="58" spans="1:16" ht="15">
      <c r="A58" s="12">
        <v>41</v>
      </c>
      <c r="B58" s="13" t="s">
        <v>90</v>
      </c>
      <c r="C58" s="14" t="s">
        <v>91</v>
      </c>
      <c r="D58" s="15" t="s">
        <v>14</v>
      </c>
      <c r="E58" s="16"/>
      <c r="F58" s="16"/>
      <c r="G58" s="17">
        <f>VLOOKUP(B58,'[1]Brokers'!$B$9:$H$69,7,0)</f>
        <v>549900</v>
      </c>
      <c r="H58" s="17">
        <f>VLOOKUP(B58,'[1]Brokers'!$B$9:$X$69,23,0)</f>
        <v>0</v>
      </c>
      <c r="I58" s="40">
        <f>VLOOKUP(B58,'[1]Brokers'!$B$9:$R$69,17,0)</f>
        <v>0</v>
      </c>
      <c r="J58" s="17">
        <f>VLOOKUP(B58,'[1]Brokers'!$B$9:$M$69,12,0)</f>
        <v>0</v>
      </c>
      <c r="K58" s="17">
        <v>0</v>
      </c>
      <c r="L58" s="17">
        <v>0</v>
      </c>
      <c r="M58" s="18">
        <f>L58+I58+J58+H58+G58</f>
        <v>549900</v>
      </c>
      <c r="N58" s="31">
        <f>(VLOOKUP(B58,'[2]Sheet1'!$B$16:$N$74,13,0))+549900</f>
        <v>48181245.03</v>
      </c>
      <c r="O58" s="34">
        <f>N58/$N$78</f>
        <v>0.00019991054712484811</v>
      </c>
      <c r="P58" s="36"/>
    </row>
    <row r="59" spans="1:16" ht="15">
      <c r="A59" s="12">
        <v>44</v>
      </c>
      <c r="B59" s="13" t="s">
        <v>96</v>
      </c>
      <c r="C59" s="14" t="s">
        <v>97</v>
      </c>
      <c r="D59" s="15" t="s">
        <v>14</v>
      </c>
      <c r="E59" s="16"/>
      <c r="F59" s="16"/>
      <c r="G59" s="17">
        <f>VLOOKUP(B59,'[1]Brokers'!$B$9:$H$69,7,0)</f>
        <v>10960933</v>
      </c>
      <c r="H59" s="17">
        <f>VLOOKUP(B59,'[1]Brokers'!$B$9:$X$69,23,0)</f>
        <v>0</v>
      </c>
      <c r="I59" s="40">
        <f>VLOOKUP(B59,'[1]Brokers'!$B$9:$R$69,17,0)</f>
        <v>0</v>
      </c>
      <c r="J59" s="17">
        <f>VLOOKUP(B59,'[1]Brokers'!$B$9:$M$69,12,0)</f>
        <v>0</v>
      </c>
      <c r="K59" s="17">
        <v>0</v>
      </c>
      <c r="L59" s="17">
        <v>0</v>
      </c>
      <c r="M59" s="18">
        <f>L59+I59+J59+H59+G59</f>
        <v>10960933</v>
      </c>
      <c r="N59" s="31">
        <f>(VLOOKUP(B59,'[2]Sheet1'!$B$16:$N$74,13,0))+10960933</f>
        <v>20564695</v>
      </c>
      <c r="O59" s="34">
        <f>N59/$N$78</f>
        <v>8.532572012918838E-05</v>
      </c>
      <c r="P59" s="36"/>
    </row>
    <row r="60" spans="1:16" ht="15">
      <c r="A60" s="12">
        <v>43</v>
      </c>
      <c r="B60" s="13" t="s">
        <v>86</v>
      </c>
      <c r="C60" s="14" t="s">
        <v>87</v>
      </c>
      <c r="D60" s="15" t="s">
        <v>14</v>
      </c>
      <c r="E60" s="16"/>
      <c r="F60" s="16"/>
      <c r="G60" s="17">
        <f>VLOOKUP(B60,'[1]Brokers'!$B$9:$H$69,7,0)</f>
        <v>0</v>
      </c>
      <c r="H60" s="17">
        <f>VLOOKUP(B60,'[1]Brokers'!$B$9:$X$69,23,0)</f>
        <v>0</v>
      </c>
      <c r="I60" s="40">
        <f>VLOOKUP(B60,'[1]Brokers'!$B$9:$R$69,17,0)</f>
        <v>0</v>
      </c>
      <c r="J60" s="17">
        <f>VLOOKUP(B60,'[1]Brokers'!$B$9:$M$69,12,0)</f>
        <v>0</v>
      </c>
      <c r="K60" s="17">
        <v>0</v>
      </c>
      <c r="L60" s="17">
        <v>0</v>
      </c>
      <c r="M60" s="18">
        <f>L60+I60+J60+H60+G60</f>
        <v>0</v>
      </c>
      <c r="N60" s="31">
        <f>(VLOOKUP(B60,'[2]Sheet1'!$B$16:$N$74,13,0))+0</f>
        <v>18962636.3</v>
      </c>
      <c r="O60" s="34">
        <f>N60/$N$78</f>
        <v>7.867856040876796E-05</v>
      </c>
      <c r="P60" s="36"/>
    </row>
    <row r="61" spans="1:16" ht="15">
      <c r="A61" s="12">
        <v>45</v>
      </c>
      <c r="B61" s="13" t="s">
        <v>106</v>
      </c>
      <c r="C61" s="14" t="s">
        <v>107</v>
      </c>
      <c r="D61" s="15" t="s">
        <v>14</v>
      </c>
      <c r="E61" s="15" t="s">
        <v>14</v>
      </c>
      <c r="F61" s="16"/>
      <c r="G61" s="17">
        <f>VLOOKUP(B61,'[1]Brokers'!$B$9:$H$69,7,0)</f>
        <v>0</v>
      </c>
      <c r="H61" s="17">
        <f>VLOOKUP(B61,'[1]Brokers'!$B$9:$X$69,23,0)</f>
        <v>0</v>
      </c>
      <c r="I61" s="40">
        <f>VLOOKUP(B61,'[1]Brokers'!$B$9:$R$69,17,0)</f>
        <v>0</v>
      </c>
      <c r="J61" s="17">
        <f>VLOOKUP(B61,'[1]Brokers'!$B$9:$M$69,12,0)</f>
        <v>0</v>
      </c>
      <c r="K61" s="17">
        <v>0</v>
      </c>
      <c r="L61" s="17">
        <v>0</v>
      </c>
      <c r="M61" s="18">
        <f>L61+I61+J61+H61+G61</f>
        <v>0</v>
      </c>
      <c r="N61" s="31">
        <f>(VLOOKUP(B61,'[2]Sheet1'!$B$16:$N$74,13,0))+0</f>
        <v>3788300</v>
      </c>
      <c r="O61" s="34">
        <f>N61/$N$78</f>
        <v>1.5718172604330108E-05</v>
      </c>
      <c r="P61" s="36"/>
    </row>
    <row r="62" spans="1:16" ht="15">
      <c r="A62" s="12">
        <v>46</v>
      </c>
      <c r="B62" s="13" t="s">
        <v>139</v>
      </c>
      <c r="C62" s="14" t="s">
        <v>141</v>
      </c>
      <c r="D62" s="15" t="s">
        <v>14</v>
      </c>
      <c r="E62" s="16"/>
      <c r="F62" s="16"/>
      <c r="G62" s="17">
        <f>VLOOKUP(B62,'[1]Brokers'!$B$9:$H$69,7,0)</f>
        <v>113500</v>
      </c>
      <c r="H62" s="17">
        <f>VLOOKUP(B62,'[1]Brokers'!$B$9:$X$69,23,0)</f>
        <v>0</v>
      </c>
      <c r="I62" s="40">
        <f>VLOOKUP(B62,'[1]Brokers'!$B$9:$R$69,17,0)</f>
        <v>0</v>
      </c>
      <c r="J62" s="17">
        <f>VLOOKUP(B62,'[1]Brokers'!$B$9:$M$69,12,0)</f>
        <v>0</v>
      </c>
      <c r="K62" s="17">
        <v>0</v>
      </c>
      <c r="L62" s="17">
        <v>0</v>
      </c>
      <c r="M62" s="18">
        <f>L62+I62+J62+H62+G62</f>
        <v>113500</v>
      </c>
      <c r="N62" s="31">
        <v>113500</v>
      </c>
      <c r="O62" s="34">
        <f>N62/$N$78</f>
        <v>4.7092695683854686E-07</v>
      </c>
      <c r="P62" s="36"/>
    </row>
    <row r="63" spans="1:16" ht="15">
      <c r="A63" s="12">
        <v>47</v>
      </c>
      <c r="B63" s="13" t="s">
        <v>112</v>
      </c>
      <c r="C63" s="14" t="s">
        <v>113</v>
      </c>
      <c r="D63" s="15" t="s">
        <v>14</v>
      </c>
      <c r="E63" s="16"/>
      <c r="F63" s="16"/>
      <c r="G63" s="17">
        <f>VLOOKUP(B63,'[1]Brokers'!$B$9:$H$69,7,0)</f>
        <v>0</v>
      </c>
      <c r="H63" s="17">
        <f>VLOOKUP(B63,'[1]Brokers'!$B$9:$X$69,23,0)</f>
        <v>0</v>
      </c>
      <c r="I63" s="40">
        <f>VLOOKUP(B63,'[1]Brokers'!$B$9:$R$69,17,0)</f>
        <v>0</v>
      </c>
      <c r="J63" s="17">
        <f>VLOOKUP(B63,'[1]Brokers'!$B$9:$M$69,12,0)</f>
        <v>0</v>
      </c>
      <c r="K63" s="17">
        <v>0</v>
      </c>
      <c r="L63" s="17">
        <v>0</v>
      </c>
      <c r="M63" s="18">
        <f>L63+I63+J63+H63+G63</f>
        <v>0</v>
      </c>
      <c r="N63" s="31">
        <f>(VLOOKUP(B63,'[2]Sheet1'!$B$16:$N$74,13,0))+0</f>
        <v>0</v>
      </c>
      <c r="O63" s="34">
        <f>N63/$N$78</f>
        <v>0</v>
      </c>
      <c r="P63" s="36"/>
    </row>
    <row r="64" spans="1:16" ht="15">
      <c r="A64" s="12">
        <v>48</v>
      </c>
      <c r="B64" s="13" t="s">
        <v>114</v>
      </c>
      <c r="C64" s="14" t="s">
        <v>115</v>
      </c>
      <c r="D64" s="15"/>
      <c r="E64" s="16"/>
      <c r="F64" s="16"/>
      <c r="G64" s="17">
        <f>VLOOKUP(B64,'[1]Brokers'!$B$9:$H$69,7,0)</f>
        <v>0</v>
      </c>
      <c r="H64" s="17">
        <f>VLOOKUP(B64,'[1]Brokers'!$B$9:$X$69,23,0)</f>
        <v>0</v>
      </c>
      <c r="I64" s="40">
        <f>VLOOKUP(B64,'[1]Brokers'!$B$9:$R$69,17,0)</f>
        <v>0</v>
      </c>
      <c r="J64" s="17">
        <f>VLOOKUP(B64,'[1]Brokers'!$B$9:$M$69,12,0)</f>
        <v>0</v>
      </c>
      <c r="K64" s="17">
        <v>0</v>
      </c>
      <c r="L64" s="17">
        <v>0</v>
      </c>
      <c r="M64" s="18">
        <f>L64+I64+J64+H64+G64</f>
        <v>0</v>
      </c>
      <c r="N64" s="31">
        <f>(VLOOKUP(B64,'[2]Sheet1'!$B$16:$N$74,13,0))+0</f>
        <v>0</v>
      </c>
      <c r="O64" s="34">
        <f>N64/$N$78</f>
        <v>0</v>
      </c>
      <c r="P64" s="36"/>
    </row>
    <row r="65" spans="1:16" ht="15">
      <c r="A65" s="12">
        <v>49</v>
      </c>
      <c r="B65" s="13" t="s">
        <v>100</v>
      </c>
      <c r="C65" s="14" t="s">
        <v>101</v>
      </c>
      <c r="D65" s="15"/>
      <c r="E65" s="16"/>
      <c r="F65" s="16"/>
      <c r="G65" s="17">
        <f>VLOOKUP(B65,'[1]Brokers'!$B$9:$H$69,7,0)</f>
        <v>0</v>
      </c>
      <c r="H65" s="17">
        <f>VLOOKUP(B65,'[1]Brokers'!$B$9:$X$69,23,0)</f>
        <v>0</v>
      </c>
      <c r="I65" s="40">
        <f>VLOOKUP(B65,'[1]Brokers'!$B$9:$R$69,17,0)</f>
        <v>0</v>
      </c>
      <c r="J65" s="17">
        <f>VLOOKUP(B65,'[1]Brokers'!$B$9:$M$69,12,0)</f>
        <v>0</v>
      </c>
      <c r="K65" s="17">
        <v>0</v>
      </c>
      <c r="L65" s="17">
        <v>0</v>
      </c>
      <c r="M65" s="18">
        <f>L65+I65+J65+H65+G65</f>
        <v>0</v>
      </c>
      <c r="N65" s="31">
        <f>(VLOOKUP(B65,'[2]Sheet1'!$B$16:$N$74,13,0))+0</f>
        <v>0</v>
      </c>
      <c r="O65" s="34">
        <f>N65/$N$78</f>
        <v>0</v>
      </c>
      <c r="P65" s="36"/>
    </row>
    <row r="66" spans="1:16" ht="15">
      <c r="A66" s="12">
        <v>50</v>
      </c>
      <c r="B66" s="13" t="s">
        <v>120</v>
      </c>
      <c r="C66" s="14" t="s">
        <v>121</v>
      </c>
      <c r="D66" s="15"/>
      <c r="E66" s="16"/>
      <c r="F66" s="16"/>
      <c r="G66" s="17">
        <f>VLOOKUP(B66,'[1]Brokers'!$B$9:$H$69,7,0)</f>
        <v>0</v>
      </c>
      <c r="H66" s="17">
        <f>VLOOKUP(B66,'[1]Brokers'!$B$9:$X$69,23,0)</f>
        <v>0</v>
      </c>
      <c r="I66" s="40">
        <f>VLOOKUP(B66,'[1]Brokers'!$B$9:$R$69,17,0)</f>
        <v>0</v>
      </c>
      <c r="J66" s="17">
        <f>VLOOKUP(B66,'[1]Brokers'!$B$9:$M$69,12,0)</f>
        <v>0</v>
      </c>
      <c r="K66" s="17">
        <v>0</v>
      </c>
      <c r="L66" s="17">
        <v>0</v>
      </c>
      <c r="M66" s="18">
        <f>L66+I66+J66+H66+G66</f>
        <v>0</v>
      </c>
      <c r="N66" s="31">
        <f>(VLOOKUP(B66,'[2]Sheet1'!$B$16:$N$74,13,0))+0</f>
        <v>0</v>
      </c>
      <c r="O66" s="34">
        <f>N66/$N$78</f>
        <v>0</v>
      </c>
      <c r="P66" s="36"/>
    </row>
    <row r="67" spans="1:17" ht="15">
      <c r="A67" s="12">
        <v>51</v>
      </c>
      <c r="B67" s="13" t="s">
        <v>116</v>
      </c>
      <c r="C67" s="14" t="s">
        <v>117</v>
      </c>
      <c r="D67" s="15"/>
      <c r="E67" s="16"/>
      <c r="F67" s="16"/>
      <c r="G67" s="17">
        <f>VLOOKUP(B67,'[1]Brokers'!$B$9:$H$69,7,0)</f>
        <v>0</v>
      </c>
      <c r="H67" s="17">
        <f>VLOOKUP(B67,'[1]Brokers'!$B$9:$X$69,23,0)</f>
        <v>0</v>
      </c>
      <c r="I67" s="40">
        <f>VLOOKUP(B67,'[1]Brokers'!$B$9:$R$69,17,0)</f>
        <v>0</v>
      </c>
      <c r="J67" s="17">
        <f>VLOOKUP(B67,'[1]Brokers'!$B$9:$M$69,12,0)</f>
        <v>0</v>
      </c>
      <c r="K67" s="17">
        <v>0</v>
      </c>
      <c r="L67" s="17">
        <v>0</v>
      </c>
      <c r="M67" s="18">
        <f>L67+I67+J67+H67+G67</f>
        <v>0</v>
      </c>
      <c r="N67" s="31">
        <f>(VLOOKUP(B67,'[2]Sheet1'!$B$16:$N$74,13,0))+0</f>
        <v>0</v>
      </c>
      <c r="O67" s="34">
        <f>N67/$N$78</f>
        <v>0</v>
      </c>
      <c r="P67" s="36"/>
      <c r="Q67" s="21"/>
    </row>
    <row r="68" spans="1:16" ht="15">
      <c r="A68" s="12">
        <v>52</v>
      </c>
      <c r="B68" s="13" t="s">
        <v>118</v>
      </c>
      <c r="C68" s="14" t="s">
        <v>119</v>
      </c>
      <c r="D68" s="15"/>
      <c r="E68" s="16"/>
      <c r="F68" s="16"/>
      <c r="G68" s="17">
        <f>VLOOKUP(B68,'[1]Brokers'!$B$9:$H$69,7,0)</f>
        <v>0</v>
      </c>
      <c r="H68" s="17">
        <f>VLOOKUP(B68,'[1]Brokers'!$B$9:$X$69,23,0)</f>
        <v>0</v>
      </c>
      <c r="I68" s="40">
        <f>VLOOKUP(B68,'[1]Brokers'!$B$9:$R$69,17,0)</f>
        <v>0</v>
      </c>
      <c r="J68" s="17">
        <f>VLOOKUP(B68,'[1]Brokers'!$B$9:$M$69,12,0)</f>
        <v>0</v>
      </c>
      <c r="K68" s="17">
        <v>0</v>
      </c>
      <c r="L68" s="17">
        <v>0</v>
      </c>
      <c r="M68" s="18">
        <f>L68+I68+J68+H68+G68</f>
        <v>0</v>
      </c>
      <c r="N68" s="31">
        <f>(VLOOKUP(B68,'[2]Sheet1'!$B$16:$N$74,13,0))+0</f>
        <v>0</v>
      </c>
      <c r="O68" s="34">
        <f>N68/$N$78</f>
        <v>0</v>
      </c>
      <c r="P68" s="36"/>
    </row>
    <row r="69" spans="1:16" ht="15">
      <c r="A69" s="12">
        <v>53</v>
      </c>
      <c r="B69" s="13" t="s">
        <v>110</v>
      </c>
      <c r="C69" s="14" t="s">
        <v>111</v>
      </c>
      <c r="D69" s="15"/>
      <c r="E69" s="16"/>
      <c r="F69" s="16"/>
      <c r="G69" s="17">
        <f>VLOOKUP(B69,'[1]Brokers'!$B$9:$H$69,7,0)</f>
        <v>0</v>
      </c>
      <c r="H69" s="17">
        <f>VLOOKUP(B69,'[1]Brokers'!$B$9:$X$69,23,0)</f>
        <v>0</v>
      </c>
      <c r="I69" s="40">
        <f>VLOOKUP(B69,'[1]Brokers'!$B$9:$R$69,17,0)</f>
        <v>0</v>
      </c>
      <c r="J69" s="17">
        <f>VLOOKUP(B69,'[1]Brokers'!$B$9:$M$69,12,0)</f>
        <v>0</v>
      </c>
      <c r="K69" s="17">
        <v>0</v>
      </c>
      <c r="L69" s="17">
        <v>0</v>
      </c>
      <c r="M69" s="18">
        <f>L69+I69+J69+H69+G69</f>
        <v>0</v>
      </c>
      <c r="N69" s="31">
        <f>(VLOOKUP(B69,'[2]Sheet1'!$B$16:$N$74,13,0))+0</f>
        <v>0</v>
      </c>
      <c r="O69" s="34">
        <f>N69/$N$78</f>
        <v>0</v>
      </c>
      <c r="P69" s="36"/>
    </row>
    <row r="70" spans="1:16" ht="15">
      <c r="A70" s="12">
        <v>54</v>
      </c>
      <c r="B70" s="13" t="s">
        <v>71</v>
      </c>
      <c r="C70" s="14" t="s">
        <v>72</v>
      </c>
      <c r="D70" s="15" t="s">
        <v>14</v>
      </c>
      <c r="E70" s="16" t="s">
        <v>14</v>
      </c>
      <c r="F70" s="16"/>
      <c r="G70" s="17">
        <f>VLOOKUP(B70,'[1]Brokers'!$B$9:$H$69,7,0)</f>
        <v>0</v>
      </c>
      <c r="H70" s="17">
        <f>VLOOKUP(B70,'[1]Brokers'!$B$9:$X$69,23,0)</f>
        <v>0</v>
      </c>
      <c r="I70" s="40">
        <f>VLOOKUP(B70,'[1]Brokers'!$B$9:$R$69,17,0)</f>
        <v>0</v>
      </c>
      <c r="J70" s="17">
        <f>VLOOKUP(B70,'[1]Brokers'!$B$9:$M$69,12,0)</f>
        <v>0</v>
      </c>
      <c r="K70" s="17">
        <v>0</v>
      </c>
      <c r="L70" s="17">
        <v>0</v>
      </c>
      <c r="M70" s="18">
        <f>L70+I70+J70+H70+G70</f>
        <v>0</v>
      </c>
      <c r="N70" s="31">
        <f>(VLOOKUP(B70,'[2]Sheet1'!$B$16:$N$74,13,0))+0</f>
        <v>0</v>
      </c>
      <c r="O70" s="34">
        <f>N70/$N$78</f>
        <v>0</v>
      </c>
      <c r="P70" s="36"/>
    </row>
    <row r="71" spans="1:16" ht="15">
      <c r="A71" s="12">
        <v>55</v>
      </c>
      <c r="B71" s="13" t="s">
        <v>92</v>
      </c>
      <c r="C71" s="14" t="s">
        <v>93</v>
      </c>
      <c r="D71" s="15" t="s">
        <v>14</v>
      </c>
      <c r="E71" s="16" t="s">
        <v>14</v>
      </c>
      <c r="F71" s="16" t="s">
        <v>14</v>
      </c>
      <c r="G71" s="17">
        <f>VLOOKUP(B71,'[1]Brokers'!$B$9:$H$69,7,0)</f>
        <v>0</v>
      </c>
      <c r="H71" s="17">
        <f>VLOOKUP(B71,'[1]Brokers'!$B$9:$X$69,23,0)</f>
        <v>0</v>
      </c>
      <c r="I71" s="40">
        <f>VLOOKUP(B71,'[1]Brokers'!$B$9:$R$69,17,0)</f>
        <v>0</v>
      </c>
      <c r="J71" s="17">
        <f>VLOOKUP(B71,'[1]Brokers'!$B$9:$M$69,12,0)</f>
        <v>0</v>
      </c>
      <c r="K71" s="17">
        <v>0</v>
      </c>
      <c r="L71" s="17">
        <v>0</v>
      </c>
      <c r="M71" s="18">
        <f>L71+I71+J71+H71+G71</f>
        <v>0</v>
      </c>
      <c r="N71" s="31">
        <f>(VLOOKUP(B71,'[2]Sheet1'!$B$16:$N$74,13,0))+0</f>
        <v>0</v>
      </c>
      <c r="O71" s="34">
        <f>N71/$N$78</f>
        <v>0</v>
      </c>
      <c r="P71" s="36"/>
    </row>
    <row r="72" spans="1:16" ht="15">
      <c r="A72" s="12">
        <v>56</v>
      </c>
      <c r="B72" s="13" t="s">
        <v>98</v>
      </c>
      <c r="C72" s="14" t="s">
        <v>99</v>
      </c>
      <c r="D72" s="15" t="s">
        <v>14</v>
      </c>
      <c r="E72" s="16" t="s">
        <v>14</v>
      </c>
      <c r="F72" s="16" t="s">
        <v>14</v>
      </c>
      <c r="G72" s="17">
        <f>VLOOKUP(B72,'[1]Brokers'!$B$9:$H$69,7,0)</f>
        <v>0</v>
      </c>
      <c r="H72" s="17">
        <f>VLOOKUP(B72,'[1]Brokers'!$B$9:$X$69,23,0)</f>
        <v>0</v>
      </c>
      <c r="I72" s="40">
        <f>VLOOKUP(B72,'[1]Brokers'!$B$9:$R$69,17,0)</f>
        <v>0</v>
      </c>
      <c r="J72" s="17">
        <f>VLOOKUP(B72,'[1]Brokers'!$B$9:$M$69,12,0)</f>
        <v>0</v>
      </c>
      <c r="K72" s="17">
        <v>0</v>
      </c>
      <c r="L72" s="17">
        <v>0</v>
      </c>
      <c r="M72" s="18">
        <f>L72+I72+J72+H72+G72</f>
        <v>0</v>
      </c>
      <c r="N72" s="31">
        <f>(VLOOKUP(B72,'[2]Sheet1'!$B$16:$N$74,13,0))+0</f>
        <v>0</v>
      </c>
      <c r="O72" s="34">
        <f>N72/$N$78</f>
        <v>0</v>
      </c>
      <c r="P72" s="36"/>
    </row>
    <row r="73" spans="1:16" ht="15">
      <c r="A73" s="12">
        <v>57</v>
      </c>
      <c r="B73" s="13" t="s">
        <v>102</v>
      </c>
      <c r="C73" s="14" t="s">
        <v>103</v>
      </c>
      <c r="D73" s="15" t="s">
        <v>14</v>
      </c>
      <c r="E73" s="16"/>
      <c r="F73" s="16"/>
      <c r="G73" s="17">
        <f>VLOOKUP(B73,'[1]Brokers'!$B$9:$H$69,7,0)</f>
        <v>0</v>
      </c>
      <c r="H73" s="17">
        <f>VLOOKUP(B73,'[1]Brokers'!$B$9:$X$69,23,0)</f>
        <v>0</v>
      </c>
      <c r="I73" s="40">
        <f>VLOOKUP(B73,'[1]Brokers'!$B$9:$R$69,17,0)</f>
        <v>0</v>
      </c>
      <c r="J73" s="17">
        <f>VLOOKUP(B73,'[1]Brokers'!$B$9:$M$69,12,0)</f>
        <v>0</v>
      </c>
      <c r="K73" s="17">
        <v>0</v>
      </c>
      <c r="L73" s="17">
        <v>0</v>
      </c>
      <c r="M73" s="18">
        <f>L73+I73+J73+H73+G73</f>
        <v>0</v>
      </c>
      <c r="N73" s="31">
        <f>(VLOOKUP(B73,'[2]Sheet1'!$B$16:$N$74,13,0))+0</f>
        <v>0</v>
      </c>
      <c r="O73" s="34">
        <f>N73/$N$78</f>
        <v>0</v>
      </c>
      <c r="P73" s="36"/>
    </row>
    <row r="74" spans="1:17" ht="15">
      <c r="A74" s="12">
        <v>58</v>
      </c>
      <c r="B74" s="13" t="s">
        <v>104</v>
      </c>
      <c r="C74" s="14" t="s">
        <v>105</v>
      </c>
      <c r="D74" s="15" t="s">
        <v>14</v>
      </c>
      <c r="E74" s="16"/>
      <c r="F74" s="16"/>
      <c r="G74" s="17">
        <f>VLOOKUP(B74,'[1]Brokers'!$B$9:$H$69,7,0)</f>
        <v>0</v>
      </c>
      <c r="H74" s="17">
        <f>VLOOKUP(B74,'[1]Brokers'!$B$9:$X$69,23,0)</f>
        <v>0</v>
      </c>
      <c r="I74" s="40">
        <f>VLOOKUP(B74,'[1]Brokers'!$B$9:$R$69,17,0)</f>
        <v>0</v>
      </c>
      <c r="J74" s="17">
        <f>VLOOKUP(B74,'[1]Brokers'!$B$9:$M$69,12,0)</f>
        <v>0</v>
      </c>
      <c r="K74" s="17">
        <v>0</v>
      </c>
      <c r="L74" s="17">
        <v>0</v>
      </c>
      <c r="M74" s="18">
        <f>L74+I74+J74+H74+G74</f>
        <v>0</v>
      </c>
      <c r="N74" s="31">
        <f>(VLOOKUP(B74,'[2]Sheet1'!$B$16:$N$74,13,0))+0</f>
        <v>0</v>
      </c>
      <c r="O74" s="34">
        <f>N74/$N$78</f>
        <v>0</v>
      </c>
      <c r="P74" s="36"/>
      <c r="Q74" s="21"/>
    </row>
    <row r="75" spans="1:17" ht="15">
      <c r="A75" s="12">
        <v>59</v>
      </c>
      <c r="B75" s="13" t="s">
        <v>124</v>
      </c>
      <c r="C75" s="14" t="s">
        <v>125</v>
      </c>
      <c r="D75" s="15" t="s">
        <v>14</v>
      </c>
      <c r="E75" s="16"/>
      <c r="F75" s="16"/>
      <c r="G75" s="17">
        <f>VLOOKUP(B75,'[1]Brokers'!$B$9:$H$69,7,0)</f>
        <v>0</v>
      </c>
      <c r="H75" s="17">
        <f>VLOOKUP(B75,'[1]Brokers'!$B$9:$X$69,23,0)</f>
        <v>0</v>
      </c>
      <c r="I75" s="40">
        <f>VLOOKUP(B75,'[1]Brokers'!$B$9:$R$69,17,0)</f>
        <v>0</v>
      </c>
      <c r="J75" s="17">
        <f>VLOOKUP(B75,'[1]Brokers'!$B$9:$M$69,12,0)</f>
        <v>0</v>
      </c>
      <c r="K75" s="17">
        <v>0</v>
      </c>
      <c r="L75" s="17">
        <v>0</v>
      </c>
      <c r="M75" s="18">
        <f>L75+I75+J75+H75+G75</f>
        <v>0</v>
      </c>
      <c r="N75" s="31">
        <f>(VLOOKUP(B75,'[2]Sheet1'!$B$16:$N$74,13,0))+0</f>
        <v>0</v>
      </c>
      <c r="O75" s="34">
        <f>N75/$N$78</f>
        <v>0</v>
      </c>
      <c r="P75" s="36"/>
      <c r="Q75" s="21"/>
    </row>
    <row r="76" spans="1:17" ht="15">
      <c r="A76" s="12">
        <v>60</v>
      </c>
      <c r="B76" s="37" t="s">
        <v>126</v>
      </c>
      <c r="C76" s="38" t="s">
        <v>127</v>
      </c>
      <c r="D76" s="15" t="s">
        <v>14</v>
      </c>
      <c r="E76" s="39"/>
      <c r="F76" s="39"/>
      <c r="G76" s="17">
        <f>VLOOKUP(B76,'[1]Brokers'!$B$9:$H$69,7,0)</f>
        <v>0</v>
      </c>
      <c r="H76" s="17">
        <f>VLOOKUP(B76,'[1]Brokers'!$B$9:$X$69,23,0)</f>
        <v>0</v>
      </c>
      <c r="I76" s="40">
        <f>VLOOKUP(B76,'[1]Brokers'!$B$9:$R$69,17,0)</f>
        <v>0</v>
      </c>
      <c r="J76" s="17">
        <f>VLOOKUP(B76,'[1]Brokers'!$B$9:$M$69,12,0)</f>
        <v>0</v>
      </c>
      <c r="K76" s="17">
        <v>0</v>
      </c>
      <c r="L76" s="17">
        <v>0</v>
      </c>
      <c r="M76" s="18">
        <f>L76+I76+J76+H76+G76</f>
        <v>0</v>
      </c>
      <c r="N76" s="31">
        <f>(VLOOKUP(B76,'[2]Sheet1'!$B$16:$N$74,13,0))+0</f>
        <v>0</v>
      </c>
      <c r="O76" s="34">
        <f>N76/$N$78</f>
        <v>0</v>
      </c>
      <c r="P76" s="36"/>
      <c r="Q76" s="21"/>
    </row>
    <row r="77" spans="1:17" ht="15">
      <c r="A77" s="12">
        <v>61</v>
      </c>
      <c r="B77" s="37" t="s">
        <v>140</v>
      </c>
      <c r="C77" s="38" t="s">
        <v>142</v>
      </c>
      <c r="D77" s="15" t="s">
        <v>14</v>
      </c>
      <c r="E77" s="15" t="s">
        <v>14</v>
      </c>
      <c r="F77" s="15" t="s">
        <v>14</v>
      </c>
      <c r="G77" s="17">
        <f>VLOOKUP(B77,'[1]Brokers'!$B$9:$H$69,7,0)</f>
        <v>0</v>
      </c>
      <c r="H77" s="17">
        <f>VLOOKUP(B77,'[1]Brokers'!$B$9:$X$69,23,0)</f>
        <v>0</v>
      </c>
      <c r="I77" s="40">
        <f>VLOOKUP(B77,'[1]Brokers'!$B$9:$R$69,17,0)</f>
        <v>0</v>
      </c>
      <c r="J77" s="17">
        <f>VLOOKUP(B77,'[1]Brokers'!$B$9:$M$69,12,0)</f>
        <v>0</v>
      </c>
      <c r="K77" s="17">
        <v>0</v>
      </c>
      <c r="L77" s="17">
        <v>0</v>
      </c>
      <c r="M77" s="18">
        <f>L77+I77+J77+H77+G77</f>
        <v>0</v>
      </c>
      <c r="N77" s="31">
        <v>0</v>
      </c>
      <c r="O77" s="34">
        <f>N77/$N$78</f>
        <v>0</v>
      </c>
      <c r="P77" s="36"/>
      <c r="Q77" s="21"/>
    </row>
    <row r="78" spans="1:17" ht="16.5" thickBot="1">
      <c r="A78" s="71" t="s">
        <v>6</v>
      </c>
      <c r="B78" s="72"/>
      <c r="C78" s="73"/>
      <c r="D78" s="22">
        <f>COUNTA(D17:D77)</f>
        <v>55</v>
      </c>
      <c r="E78" s="22">
        <f>COUNTA(E17:E77)</f>
        <v>24</v>
      </c>
      <c r="F78" s="22">
        <f>COUNTA(F17:F77)</f>
        <v>14</v>
      </c>
      <c r="G78" s="23">
        <f aca="true" t="shared" si="0" ref="G78:O78">SUM(G17:G77)</f>
        <v>7033623131.699999</v>
      </c>
      <c r="H78" s="23">
        <f t="shared" si="0"/>
        <v>1761197040</v>
      </c>
      <c r="I78" s="23">
        <f t="shared" si="0"/>
        <v>0</v>
      </c>
      <c r="J78" s="23">
        <f t="shared" si="0"/>
        <v>2040000000</v>
      </c>
      <c r="K78" s="23">
        <f t="shared" si="0"/>
        <v>0</v>
      </c>
      <c r="L78" s="23">
        <f t="shared" si="0"/>
        <v>0</v>
      </c>
      <c r="M78" s="23">
        <f t="shared" si="0"/>
        <v>10834820171.699997</v>
      </c>
      <c r="N78" s="32">
        <f>SUM(N17:N77)</f>
        <v>241014022136.16</v>
      </c>
      <c r="O78" s="33">
        <f t="shared" si="0"/>
        <v>1</v>
      </c>
      <c r="P78" s="24"/>
      <c r="Q78" s="21"/>
    </row>
    <row r="79" spans="12:17" ht="15">
      <c r="L79" s="25"/>
      <c r="M79" s="26"/>
      <c r="O79" s="25"/>
      <c r="P79" s="24"/>
      <c r="Q79" s="21"/>
    </row>
    <row r="80" spans="2:17" ht="27.6" customHeight="1">
      <c r="B80" s="60" t="s">
        <v>128</v>
      </c>
      <c r="C80" s="60"/>
      <c r="D80" s="60"/>
      <c r="E80" s="60"/>
      <c r="F80" s="60"/>
      <c r="H80" s="27"/>
      <c r="I80" s="27"/>
      <c r="L80" s="25"/>
      <c r="M80" s="25"/>
      <c r="P80" s="24"/>
      <c r="Q80" s="21"/>
    </row>
    <row r="81" spans="7:17" ht="27.6" customHeight="1">
      <c r="G81" s="1"/>
      <c r="H81" s="1"/>
      <c r="I81" s="1"/>
      <c r="P81" s="24"/>
      <c r="Q81" s="21"/>
    </row>
    <row r="82" spans="16:17" ht="15">
      <c r="P82" s="24"/>
      <c r="Q82" s="21"/>
    </row>
    <row r="83" spans="16:17" ht="15">
      <c r="P83" s="24"/>
      <c r="Q83" s="21"/>
    </row>
  </sheetData>
  <mergeCells count="16">
    <mergeCell ref="B80:F80"/>
    <mergeCell ref="R18:U18"/>
    <mergeCell ref="M14:M15"/>
    <mergeCell ref="G14:I14"/>
    <mergeCell ref="J14:L14"/>
    <mergeCell ref="N14:N15"/>
    <mergeCell ref="O14:O15"/>
    <mergeCell ref="A78:C78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2" sqref="F1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2019-01-30T06:27:10Z</cp:lastPrinted>
  <dcterms:created xsi:type="dcterms:W3CDTF">2017-06-09T07:51:20Z</dcterms:created>
  <dcterms:modified xsi:type="dcterms:W3CDTF">2019-01-30T06:27:20Z</dcterms:modified>
  <cp:category/>
  <cp:version/>
  <cp:contentType/>
  <cp:contentStatus/>
</cp:coreProperties>
</file>