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hsaruul\Desktop\"/>
    </mc:Choice>
  </mc:AlternateContent>
  <bookViews>
    <workbookView xWindow="0" yWindow="0" windowWidth="22968" windowHeight="9036" firstSheet="3" activeTab="6"/>
  </bookViews>
  <sheets>
    <sheet name="BS &amp; IS " sheetId="1" state="hidden" r:id="rId1"/>
    <sheet name="final-ME" sheetId="7" state="hidden" r:id="rId2"/>
    <sheet name="merge-KH" sheetId="2" state="hidden" r:id="rId3"/>
    <sheet name="BS" sheetId="3" r:id="rId4"/>
    <sheet name="IS" sheetId="4" r:id="rId5"/>
    <sheet name="EQ" sheetId="5" r:id="rId6"/>
    <sheet name="CF" sheetId="6" r:id="rId7"/>
    <sheet name="JIV" sheetId="8" state="hidden" r:id="rId8"/>
    <sheet name="JIV-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3">BS!$D$1:$I$66</definedName>
    <definedName name="_xlnm.Print_Area" localSheetId="5">EQ!$B$42:$K$56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5" l="1"/>
  <c r="I62" i="3"/>
  <c r="H21" i="3" l="1"/>
  <c r="I21" i="3" s="1"/>
  <c r="I58" i="3"/>
  <c r="D15" i="5" l="1"/>
  <c r="D9" i="5"/>
  <c r="D7" i="5"/>
  <c r="D46" i="5" s="1"/>
  <c r="F56" i="3"/>
  <c r="I56" i="3" s="1"/>
  <c r="F15" i="6" l="1"/>
  <c r="F8" i="6"/>
  <c r="F25" i="6" s="1"/>
  <c r="E15" i="6"/>
  <c r="F27" i="6"/>
  <c r="F36" i="6"/>
  <c r="F45" i="6"/>
  <c r="F50" i="6"/>
  <c r="F59" i="6"/>
  <c r="F58" i="6"/>
  <c r="G50" i="6"/>
  <c r="E50" i="6"/>
  <c r="G9" i="4"/>
  <c r="G7" i="4"/>
  <c r="G6" i="4"/>
  <c r="H7" i="3"/>
  <c r="H32" i="3" s="1"/>
  <c r="F55" i="6" l="1"/>
  <c r="F43" i="6"/>
  <c r="F57" i="6" s="1"/>
  <c r="J16" i="5"/>
  <c r="I16" i="5"/>
  <c r="F48" i="3"/>
  <c r="I48" i="3" s="1"/>
  <c r="F54" i="3"/>
  <c r="E59" i="6" l="1"/>
  <c r="J51" i="5"/>
  <c r="G24" i="4"/>
  <c r="I51" i="5"/>
  <c r="E58" i="6" l="1"/>
  <c r="F39" i="5" l="1"/>
  <c r="D39" i="5"/>
  <c r="H52" i="6"/>
  <c r="H53" i="6"/>
  <c r="H54" i="6"/>
  <c r="H51" i="6"/>
  <c r="H47" i="6"/>
  <c r="H48" i="6"/>
  <c r="H49" i="6"/>
  <c r="H46" i="6"/>
  <c r="H38" i="6"/>
  <c r="H39" i="6"/>
  <c r="H40" i="6"/>
  <c r="H41" i="6"/>
  <c r="H42" i="6"/>
  <c r="H37" i="6"/>
  <c r="H29" i="6"/>
  <c r="H30" i="6"/>
  <c r="H31" i="6"/>
  <c r="H32" i="6"/>
  <c r="H33" i="6"/>
  <c r="H34" i="6"/>
  <c r="H35" i="6"/>
  <c r="H28" i="6"/>
  <c r="H17" i="6"/>
  <c r="H18" i="6"/>
  <c r="H19" i="6"/>
  <c r="H20" i="6"/>
  <c r="H21" i="6"/>
  <c r="H22" i="6"/>
  <c r="H23" i="6"/>
  <c r="H24" i="6"/>
  <c r="H16" i="6"/>
  <c r="H10" i="6"/>
  <c r="H11" i="6"/>
  <c r="H12" i="6"/>
  <c r="H13" i="6"/>
  <c r="H14" i="6"/>
  <c r="H9" i="6"/>
  <c r="H8" i="6" l="1"/>
  <c r="I39" i="5"/>
  <c r="J39" i="5" l="1"/>
  <c r="G31" i="4" l="1"/>
  <c r="H58" i="6" l="1"/>
  <c r="H59" i="6"/>
  <c r="G45" i="6"/>
  <c r="G36" i="6"/>
  <c r="G27" i="6"/>
  <c r="G15" i="6"/>
  <c r="G8" i="6"/>
  <c r="G25" i="6" s="1"/>
  <c r="G55" i="6" l="1"/>
  <c r="G43" i="6"/>
  <c r="G57" i="6" s="1"/>
  <c r="I46" i="5" l="1"/>
  <c r="F46" i="5"/>
  <c r="E46" i="5"/>
  <c r="F51" i="5"/>
  <c r="I57" i="3"/>
  <c r="I59" i="3"/>
  <c r="I60" i="3"/>
  <c r="I61" i="3"/>
  <c r="I64" i="3"/>
  <c r="AH23" i="1"/>
  <c r="G23" i="7"/>
  <c r="G6" i="9"/>
  <c r="X23" i="1" s="1"/>
  <c r="F6" i="9"/>
  <c r="W31" i="1"/>
  <c r="W34" i="1" s="1"/>
  <c r="AG31" i="1"/>
  <c r="AG34" i="1" s="1"/>
  <c r="AH31" i="1"/>
  <c r="W25" i="1"/>
  <c r="Z25" i="1"/>
  <c r="AG25" i="1"/>
  <c r="V25" i="1"/>
  <c r="X29" i="1"/>
  <c r="E28" i="7"/>
  <c r="G23" i="8"/>
  <c r="F23" i="8"/>
  <c r="G6" i="8"/>
  <c r="F6" i="8"/>
  <c r="AM18" i="1"/>
  <c r="AL16" i="1"/>
  <c r="AL15" i="1"/>
  <c r="AK16" i="1"/>
  <c r="AK15" i="1"/>
  <c r="I19" i="7"/>
  <c r="I15" i="7"/>
  <c r="J27" i="7"/>
  <c r="J28" i="7" s="1"/>
  <c r="H26" i="7"/>
  <c r="E26" i="7"/>
  <c r="G24" i="8" l="1"/>
  <c r="D51" i="5"/>
  <c r="I63" i="3"/>
  <c r="AH29" i="1"/>
  <c r="AJ14" i="1"/>
  <c r="AL14" i="1" l="1"/>
  <c r="AL17" i="1" s="1"/>
  <c r="AL19" i="1" s="1"/>
  <c r="AH27" i="1" s="1"/>
  <c r="AK14" i="1"/>
  <c r="AK17" i="1" s="1"/>
  <c r="AK19" i="1" s="1"/>
  <c r="G30" i="4"/>
  <c r="G29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8" i="4"/>
  <c r="G23" i="4" l="1"/>
  <c r="G25" i="4" s="1"/>
  <c r="G27" i="4" s="1"/>
  <c r="J49" i="5" s="1"/>
  <c r="G35" i="4"/>
  <c r="AI27" i="1"/>
  <c r="AH25" i="1"/>
  <c r="AH34" i="1" s="1"/>
  <c r="G28" i="4"/>
  <c r="G32" i="4" s="1"/>
  <c r="D28" i="4"/>
  <c r="E28" i="4"/>
  <c r="F28" i="4"/>
  <c r="D8" i="4"/>
  <c r="D23" i="4" s="1"/>
  <c r="D25" i="4" s="1"/>
  <c r="D27" i="4" s="1"/>
  <c r="E8" i="4"/>
  <c r="E23" i="4" s="1"/>
  <c r="E25" i="4" s="1"/>
  <c r="E27" i="4" s="1"/>
  <c r="F8" i="4"/>
  <c r="F23" i="4" s="1"/>
  <c r="F25" i="4" s="1"/>
  <c r="F27" i="4" s="1"/>
  <c r="X59" i="1"/>
  <c r="AH59" i="1"/>
  <c r="W56" i="1"/>
  <c r="Y58" i="1"/>
  <c r="AG43" i="1"/>
  <c r="AH43" i="1"/>
  <c r="Z24" i="1"/>
  <c r="AH24" i="1"/>
  <c r="Z16" i="1"/>
  <c r="AG16" i="1"/>
  <c r="AH16" i="1"/>
  <c r="AI48" i="1"/>
  <c r="AI42" i="1"/>
  <c r="AI32" i="1"/>
  <c r="AI26" i="1"/>
  <c r="Y7" i="1"/>
  <c r="K53" i="5"/>
  <c r="K52" i="5"/>
  <c r="K50" i="5"/>
  <c r="I48" i="5"/>
  <c r="I54" i="5" s="1"/>
  <c r="H48" i="5"/>
  <c r="H54" i="5" s="1"/>
  <c r="G48" i="5"/>
  <c r="G54" i="5" s="1"/>
  <c r="E48" i="5"/>
  <c r="K47" i="5"/>
  <c r="F48" i="5"/>
  <c r="F54" i="5" s="1"/>
  <c r="D48" i="5"/>
  <c r="D32" i="4" l="1"/>
  <c r="D34" i="4" s="1"/>
  <c r="E32" i="4"/>
  <c r="K49" i="5"/>
  <c r="J48" i="5"/>
  <c r="K48" i="5" s="1"/>
  <c r="AH35" i="1"/>
  <c r="AH36" i="1" s="1"/>
  <c r="E51" i="5"/>
  <c r="F32" i="4"/>
  <c r="D54" i="5"/>
  <c r="J54" i="5" l="1"/>
  <c r="F27" i="3"/>
  <c r="I55" i="3" l="1"/>
  <c r="I49" i="3"/>
  <c r="H51" i="3"/>
  <c r="I47" i="3"/>
  <c r="I46" i="3"/>
  <c r="H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H27" i="3"/>
  <c r="I26" i="3"/>
  <c r="I25" i="3"/>
  <c r="I24" i="3"/>
  <c r="I23" i="3"/>
  <c r="I22" i="3"/>
  <c r="I20" i="3"/>
  <c r="I19" i="3"/>
  <c r="I18" i="3"/>
  <c r="I17" i="3"/>
  <c r="H16" i="3"/>
  <c r="I14" i="3"/>
  <c r="I13" i="3"/>
  <c r="I12" i="3"/>
  <c r="I11" i="3"/>
  <c r="I10" i="3"/>
  <c r="I9" i="3"/>
  <c r="I8" i="3"/>
  <c r="I7" i="3"/>
  <c r="I6" i="3"/>
  <c r="I5" i="3"/>
  <c r="G54" i="3"/>
  <c r="G65" i="3" s="1"/>
  <c r="K39" i="5" s="1"/>
  <c r="G51" i="3"/>
  <c r="G44" i="3"/>
  <c r="G27" i="3"/>
  <c r="G16" i="3"/>
  <c r="F65" i="3"/>
  <c r="K16" i="5" s="1"/>
  <c r="X14" i="1"/>
  <c r="E62" i="2"/>
  <c r="X32" i="1"/>
  <c r="X28" i="1"/>
  <c r="X27" i="1"/>
  <c r="X17" i="1"/>
  <c r="X8" i="1"/>
  <c r="X25" i="1" l="1"/>
  <c r="X31" i="1"/>
  <c r="G28" i="3"/>
  <c r="I51" i="3"/>
  <c r="H52" i="3"/>
  <c r="H28" i="3"/>
  <c r="I44" i="3"/>
  <c r="G52" i="3"/>
  <c r="G66" i="3" s="1"/>
  <c r="I27" i="3"/>
  <c r="I16" i="3"/>
  <c r="I54" i="3"/>
  <c r="H54" i="3"/>
  <c r="H65" i="3" s="1"/>
  <c r="X34" i="1" l="1"/>
  <c r="G67" i="3"/>
  <c r="I65" i="3"/>
  <c r="I28" i="3"/>
  <c r="I52" i="3"/>
  <c r="H66" i="3"/>
  <c r="I66" i="3" l="1"/>
  <c r="K51" i="5"/>
  <c r="K54" i="5" s="1"/>
  <c r="E54" i="5"/>
  <c r="F51" i="3"/>
  <c r="F44" i="3"/>
  <c r="F16" i="3"/>
  <c r="F52" i="3" l="1"/>
  <c r="F66" i="3" s="1"/>
  <c r="F28" i="3"/>
  <c r="Y27" i="1" l="1"/>
  <c r="Y28" i="1"/>
  <c r="Y29" i="1"/>
  <c r="Y30" i="1"/>
  <c r="H59" i="2"/>
  <c r="F55" i="7"/>
  <c r="E55" i="7"/>
  <c r="D55" i="7"/>
  <c r="C55" i="7"/>
  <c r="E52" i="7"/>
  <c r="D52" i="7"/>
  <c r="C52" i="7"/>
  <c r="F51" i="7"/>
  <c r="F50" i="7"/>
  <c r="F49" i="7"/>
  <c r="D48" i="7"/>
  <c r="F47" i="7"/>
  <c r="F46" i="7"/>
  <c r="F45" i="7"/>
  <c r="F44" i="7"/>
  <c r="F43" i="7"/>
  <c r="E42" i="7"/>
  <c r="E48" i="7" s="1"/>
  <c r="D42" i="7"/>
  <c r="C42" i="7"/>
  <c r="C48" i="7" s="1"/>
  <c r="F41" i="7"/>
  <c r="F40" i="7"/>
  <c r="F32" i="7"/>
  <c r="F31" i="7"/>
  <c r="E31" i="7"/>
  <c r="E30" i="7"/>
  <c r="D30" i="7"/>
  <c r="D33" i="7" s="1"/>
  <c r="C30" i="7"/>
  <c r="C33" i="7" s="1"/>
  <c r="F29" i="7"/>
  <c r="F28" i="7"/>
  <c r="E27" i="7"/>
  <c r="F27" i="7" s="1"/>
  <c r="F26" i="7"/>
  <c r="I25" i="7"/>
  <c r="F25" i="7"/>
  <c r="D24" i="7"/>
  <c r="D34" i="7" s="1"/>
  <c r="C24" i="7"/>
  <c r="F23" i="7"/>
  <c r="F22" i="7"/>
  <c r="F21" i="7"/>
  <c r="F20" i="7"/>
  <c r="F19" i="7"/>
  <c r="F18" i="7"/>
  <c r="E17" i="7"/>
  <c r="E24" i="7" s="1"/>
  <c r="D16" i="7"/>
  <c r="C16" i="7"/>
  <c r="F15" i="7"/>
  <c r="H14" i="7"/>
  <c r="I16" i="7" s="1"/>
  <c r="I17" i="7" s="1"/>
  <c r="I20" i="7" s="1"/>
  <c r="E14" i="7"/>
  <c r="F14" i="7" s="1"/>
  <c r="F13" i="7"/>
  <c r="F12" i="7"/>
  <c r="F11" i="7"/>
  <c r="F10" i="7"/>
  <c r="F9" i="7"/>
  <c r="E8" i="7"/>
  <c r="F7" i="7"/>
  <c r="C34" i="7" l="1"/>
  <c r="D35" i="7"/>
  <c r="E16" i="7"/>
  <c r="F17" i="7"/>
  <c r="F24" i="7" s="1"/>
  <c r="C56" i="7"/>
  <c r="C58" i="7" s="1"/>
  <c r="D56" i="7"/>
  <c r="D58" i="7" s="1"/>
  <c r="F52" i="7"/>
  <c r="F42" i="7"/>
  <c r="F48" i="7" s="1"/>
  <c r="E56" i="7"/>
  <c r="E58" i="7" s="1"/>
  <c r="F30" i="7"/>
  <c r="F33" i="7" s="1"/>
  <c r="E33" i="7"/>
  <c r="E34" i="7" s="1"/>
  <c r="F8" i="7"/>
  <c r="F16" i="7" s="1"/>
  <c r="F56" i="7" l="1"/>
  <c r="F58" i="7" s="1"/>
  <c r="F34" i="7"/>
  <c r="F35" i="7" s="1"/>
  <c r="E8" i="6"/>
  <c r="F16" i="5"/>
  <c r="H15" i="6" l="1"/>
  <c r="H25" i="6" s="1"/>
  <c r="E27" i="6"/>
  <c r="H27" i="6"/>
  <c r="E45" i="6"/>
  <c r="E55" i="6" s="1"/>
  <c r="H45" i="6"/>
  <c r="E36" i="6"/>
  <c r="H36" i="6"/>
  <c r="E25" i="6"/>
  <c r="H50" i="6"/>
  <c r="Y32" i="1"/>
  <c r="Y26" i="1"/>
  <c r="Y25" i="1" s="1"/>
  <c r="X24" i="1"/>
  <c r="X35" i="1" s="1"/>
  <c r="Y18" i="1"/>
  <c r="Y19" i="1"/>
  <c r="Y20" i="1"/>
  <c r="Y21" i="1"/>
  <c r="Y22" i="1"/>
  <c r="Y23" i="1"/>
  <c r="Y8" i="1"/>
  <c r="Y9" i="1"/>
  <c r="Y10" i="1"/>
  <c r="Y11" i="1"/>
  <c r="Y12" i="1"/>
  <c r="Y13" i="1"/>
  <c r="Y14" i="1"/>
  <c r="Y15" i="1"/>
  <c r="X16" i="1"/>
  <c r="F73" i="2"/>
  <c r="D73" i="2"/>
  <c r="E68" i="2"/>
  <c r="E64" i="2"/>
  <c r="C64" i="2"/>
  <c r="E63" i="2"/>
  <c r="C63" i="2"/>
  <c r="C62" i="2"/>
  <c r="F62" i="2" s="1"/>
  <c r="G62" i="2" s="1"/>
  <c r="F57" i="2"/>
  <c r="F61" i="2" s="1"/>
  <c r="D52" i="2"/>
  <c r="F74" i="2" s="1"/>
  <c r="C52" i="2"/>
  <c r="C56" i="2" s="1"/>
  <c r="D33" i="2"/>
  <c r="I27" i="2"/>
  <c r="C26" i="2"/>
  <c r="D81" i="2" s="1"/>
  <c r="I25" i="2"/>
  <c r="C22" i="2"/>
  <c r="D22" i="2" s="1"/>
  <c r="D34" i="2" s="1"/>
  <c r="D13" i="2"/>
  <c r="C13" i="2"/>
  <c r="I12" i="2"/>
  <c r="I13" i="2" s="1"/>
  <c r="F12" i="2"/>
  <c r="D21" i="2" s="1"/>
  <c r="C50" i="2" s="1"/>
  <c r="C48" i="2" s="1"/>
  <c r="J11" i="2"/>
  <c r="F11" i="2"/>
  <c r="I14" i="2" s="1"/>
  <c r="D7" i="2"/>
  <c r="C7" i="2" s="1"/>
  <c r="C6" i="2" s="1"/>
  <c r="F5" i="2"/>
  <c r="K11" i="2" s="1"/>
  <c r="W53" i="1"/>
  <c r="AG51" i="1"/>
  <c r="AG53" i="1" s="1"/>
  <c r="W17" i="1"/>
  <c r="Y17" i="1" s="1"/>
  <c r="Y55" i="1"/>
  <c r="Y54" i="1"/>
  <c r="Y50" i="1"/>
  <c r="Y48" i="1"/>
  <c r="Y47" i="1"/>
  <c r="Y46" i="1"/>
  <c r="Y45" i="1"/>
  <c r="Y44" i="1"/>
  <c r="Y42" i="1"/>
  <c r="V82" i="1"/>
  <c r="V52" i="1" s="1"/>
  <c r="Y52" i="1" s="1"/>
  <c r="V67" i="1"/>
  <c r="V51" i="1" s="1"/>
  <c r="V56" i="1"/>
  <c r="V41" i="1"/>
  <c r="V43" i="1" s="1"/>
  <c r="V49" i="1" s="1"/>
  <c r="V24" i="1"/>
  <c r="V16" i="1"/>
  <c r="AG56" i="1"/>
  <c r="AG49" i="1"/>
  <c r="AG17" i="1"/>
  <c r="AG24" i="1" s="1"/>
  <c r="AG35" i="1" s="1"/>
  <c r="AG36" i="1" s="1"/>
  <c r="C85" i="1"/>
  <c r="AF84" i="1"/>
  <c r="AE84" i="1"/>
  <c r="AD84" i="1"/>
  <c r="AC84" i="1"/>
  <c r="AB84" i="1"/>
  <c r="AA84" i="1"/>
  <c r="U84" i="1"/>
  <c r="AF83" i="1"/>
  <c r="AE83" i="1"/>
  <c r="AD83" i="1"/>
  <c r="AC83" i="1"/>
  <c r="AB83" i="1"/>
  <c r="AA83" i="1"/>
  <c r="U83" i="1"/>
  <c r="Z82" i="1"/>
  <c r="Z52" i="1" s="1"/>
  <c r="W82" i="1"/>
  <c r="T82" i="1"/>
  <c r="T52" i="1" s="1"/>
  <c r="S82" i="1"/>
  <c r="S52" i="1" s="1"/>
  <c r="R82" i="1"/>
  <c r="R52" i="1" s="1"/>
  <c r="Q82" i="1"/>
  <c r="Q52" i="1" s="1"/>
  <c r="P82" i="1"/>
  <c r="P52" i="1" s="1"/>
  <c r="O82" i="1"/>
  <c r="O52" i="1" s="1"/>
  <c r="N82" i="1"/>
  <c r="N52" i="1" s="1"/>
  <c r="M82" i="1"/>
  <c r="M52" i="1" s="1"/>
  <c r="L82" i="1"/>
  <c r="L52" i="1" s="1"/>
  <c r="K82" i="1"/>
  <c r="K52" i="1" s="1"/>
  <c r="J82" i="1"/>
  <c r="I82" i="1"/>
  <c r="H82" i="1"/>
  <c r="G82" i="1"/>
  <c r="F82" i="1"/>
  <c r="E82" i="1"/>
  <c r="D82" i="1"/>
  <c r="AF78" i="1"/>
  <c r="AE78" i="1"/>
  <c r="AD78" i="1"/>
  <c r="AB78" i="1"/>
  <c r="AC78" i="1" s="1"/>
  <c r="AA78" i="1"/>
  <c r="U78" i="1"/>
  <c r="AF77" i="1"/>
  <c r="AE77" i="1"/>
  <c r="AD77" i="1"/>
  <c r="AC77" i="1"/>
  <c r="AB77" i="1"/>
  <c r="AA77" i="1"/>
  <c r="U77" i="1"/>
  <c r="AF75" i="1"/>
  <c r="AE75" i="1"/>
  <c r="U75" i="1"/>
  <c r="AF74" i="1"/>
  <c r="AE74" i="1"/>
  <c r="AD74" i="1"/>
  <c r="AC74" i="1"/>
  <c r="AB74" i="1"/>
  <c r="AA74" i="1"/>
  <c r="U74" i="1"/>
  <c r="K74" i="1"/>
  <c r="G74" i="1"/>
  <c r="G67" i="1" s="1"/>
  <c r="AF73" i="1"/>
  <c r="AE73" i="1"/>
  <c r="AD73" i="1"/>
  <c r="AC73" i="1"/>
  <c r="AB73" i="1"/>
  <c r="AA73" i="1"/>
  <c r="U73" i="1"/>
  <c r="AF72" i="1"/>
  <c r="AE72" i="1"/>
  <c r="AD72" i="1"/>
  <c r="AC72" i="1"/>
  <c r="AB72" i="1"/>
  <c r="AA72" i="1"/>
  <c r="U72" i="1"/>
  <c r="AF71" i="1"/>
  <c r="AE71" i="1"/>
  <c r="AD71" i="1"/>
  <c r="AC71" i="1"/>
  <c r="AB71" i="1"/>
  <c r="AA71" i="1"/>
  <c r="U71" i="1"/>
  <c r="AF70" i="1"/>
  <c r="AE70" i="1"/>
  <c r="AD70" i="1"/>
  <c r="AB70" i="1"/>
  <c r="AA70" i="1"/>
  <c r="U70" i="1"/>
  <c r="N70" i="1"/>
  <c r="N67" i="1" s="1"/>
  <c r="N51" i="1" s="1"/>
  <c r="AF69" i="1"/>
  <c r="AE69" i="1"/>
  <c r="AD69" i="1"/>
  <c r="AC69" i="1"/>
  <c r="AB69" i="1"/>
  <c r="AA69" i="1"/>
  <c r="U69" i="1"/>
  <c r="AF68" i="1"/>
  <c r="AE68" i="1"/>
  <c r="AD68" i="1"/>
  <c r="AC68" i="1"/>
  <c r="AB68" i="1"/>
  <c r="AA68" i="1"/>
  <c r="U68" i="1"/>
  <c r="Z67" i="1"/>
  <c r="Z51" i="1" s="1"/>
  <c r="W67" i="1"/>
  <c r="T67" i="1"/>
  <c r="T51" i="1" s="1"/>
  <c r="S67" i="1"/>
  <c r="S51" i="1" s="1"/>
  <c r="R67" i="1"/>
  <c r="R51" i="1" s="1"/>
  <c r="Q67" i="1"/>
  <c r="Q51" i="1" s="1"/>
  <c r="P67" i="1"/>
  <c r="P51" i="1" s="1"/>
  <c r="O67" i="1"/>
  <c r="O51" i="1" s="1"/>
  <c r="M67" i="1"/>
  <c r="M51" i="1" s="1"/>
  <c r="L67" i="1"/>
  <c r="L51" i="1" s="1"/>
  <c r="K67" i="1"/>
  <c r="K51" i="1" s="1"/>
  <c r="J67" i="1"/>
  <c r="I67" i="1"/>
  <c r="H67" i="1"/>
  <c r="F67" i="1"/>
  <c r="E67" i="1"/>
  <c r="D67" i="1"/>
  <c r="Z64" i="1"/>
  <c r="AF58" i="1"/>
  <c r="AI58" i="1" s="1"/>
  <c r="AE58" i="1"/>
  <c r="AD58" i="1"/>
  <c r="AC58" i="1"/>
  <c r="AB58" i="1"/>
  <c r="AA58" i="1"/>
  <c r="U58" i="1"/>
  <c r="Z56" i="1"/>
  <c r="T56" i="1"/>
  <c r="S56" i="1"/>
  <c r="R56" i="1"/>
  <c r="Q56" i="1"/>
  <c r="P56" i="1"/>
  <c r="O56" i="1"/>
  <c r="N56" i="1"/>
  <c r="M56" i="1"/>
  <c r="L56" i="1"/>
  <c r="K56" i="1"/>
  <c r="H56" i="1"/>
  <c r="G56" i="1"/>
  <c r="F56" i="1"/>
  <c r="E56" i="1"/>
  <c r="D56" i="1"/>
  <c r="C56" i="1"/>
  <c r="AF55" i="1"/>
  <c r="AI55" i="1" s="1"/>
  <c r="AE55" i="1"/>
  <c r="AD55" i="1"/>
  <c r="AC55" i="1"/>
  <c r="AB55" i="1"/>
  <c r="AA55" i="1"/>
  <c r="U55" i="1"/>
  <c r="AF54" i="1"/>
  <c r="AI54" i="1" s="1"/>
  <c r="AE54" i="1"/>
  <c r="AD54" i="1"/>
  <c r="AC54" i="1"/>
  <c r="AB54" i="1"/>
  <c r="AA54" i="1"/>
  <c r="U54" i="1"/>
  <c r="J54" i="1"/>
  <c r="J56" i="1" s="1"/>
  <c r="I54" i="1"/>
  <c r="I56" i="1" s="1"/>
  <c r="J53" i="1"/>
  <c r="I53" i="1"/>
  <c r="H53" i="1"/>
  <c r="G53" i="1"/>
  <c r="D53" i="1"/>
  <c r="AF50" i="1"/>
  <c r="AI50" i="1" s="1"/>
  <c r="AE50" i="1"/>
  <c r="AD50" i="1"/>
  <c r="AC50" i="1"/>
  <c r="AB50" i="1"/>
  <c r="AA50" i="1"/>
  <c r="U50" i="1"/>
  <c r="N50" i="1"/>
  <c r="AF47" i="1"/>
  <c r="AI47" i="1" s="1"/>
  <c r="AE47" i="1"/>
  <c r="AD47" i="1"/>
  <c r="AC47" i="1"/>
  <c r="AB47" i="1"/>
  <c r="AA47" i="1"/>
  <c r="U47" i="1"/>
  <c r="AF46" i="1"/>
  <c r="AI46" i="1" s="1"/>
  <c r="AE46" i="1"/>
  <c r="AD46" i="1"/>
  <c r="AC46" i="1"/>
  <c r="AB46" i="1"/>
  <c r="AA46" i="1"/>
  <c r="U46" i="1"/>
  <c r="AF45" i="1"/>
  <c r="AI45" i="1" s="1"/>
  <c r="AE45" i="1"/>
  <c r="AD45" i="1"/>
  <c r="AC45" i="1"/>
  <c r="AB45" i="1"/>
  <c r="AA45" i="1"/>
  <c r="U45" i="1"/>
  <c r="AF44" i="1"/>
  <c r="AI44" i="1" s="1"/>
  <c r="AE44" i="1"/>
  <c r="AD44" i="1"/>
  <c r="AC44" i="1"/>
  <c r="AB44" i="1"/>
  <c r="AA44" i="1"/>
  <c r="U44" i="1"/>
  <c r="Z43" i="1"/>
  <c r="Z49" i="1" s="1"/>
  <c r="T43" i="1"/>
  <c r="T49" i="1" s="1"/>
  <c r="S43" i="1"/>
  <c r="S49" i="1" s="1"/>
  <c r="R43" i="1"/>
  <c r="R49" i="1" s="1"/>
  <c r="Q43" i="1"/>
  <c r="Q49" i="1" s="1"/>
  <c r="P43" i="1"/>
  <c r="P49" i="1" s="1"/>
  <c r="O43" i="1"/>
  <c r="O49" i="1" s="1"/>
  <c r="N43" i="1"/>
  <c r="N49" i="1" s="1"/>
  <c r="M43" i="1"/>
  <c r="M49" i="1" s="1"/>
  <c r="L43" i="1"/>
  <c r="L49" i="1" s="1"/>
  <c r="K43" i="1"/>
  <c r="K49" i="1" s="1"/>
  <c r="J43" i="1"/>
  <c r="J49" i="1" s="1"/>
  <c r="I43" i="1"/>
  <c r="I49" i="1" s="1"/>
  <c r="H43" i="1"/>
  <c r="H49" i="1" s="1"/>
  <c r="G43" i="1"/>
  <c r="G49" i="1" s="1"/>
  <c r="F43" i="1"/>
  <c r="F49" i="1" s="1"/>
  <c r="E43" i="1"/>
  <c r="E49" i="1" s="1"/>
  <c r="E57" i="1" s="1"/>
  <c r="E59" i="1" s="1"/>
  <c r="D43" i="1"/>
  <c r="D49" i="1" s="1"/>
  <c r="AF41" i="1"/>
  <c r="AI41" i="1" s="1"/>
  <c r="AI43" i="1" s="1"/>
  <c r="AE41" i="1"/>
  <c r="AE43" i="1" s="1"/>
  <c r="AD41" i="1"/>
  <c r="AD43" i="1" s="1"/>
  <c r="AC41" i="1"/>
  <c r="AC43" i="1" s="1"/>
  <c r="AB41" i="1"/>
  <c r="AB43" i="1" s="1"/>
  <c r="AA41" i="1"/>
  <c r="AA43" i="1" s="1"/>
  <c r="W43" i="1"/>
  <c r="W49" i="1" s="1"/>
  <c r="U41" i="1"/>
  <c r="U43" i="1" s="1"/>
  <c r="C41" i="1"/>
  <c r="C43" i="1" s="1"/>
  <c r="C49" i="1" s="1"/>
  <c r="N33" i="1"/>
  <c r="N31" i="1" s="1"/>
  <c r="T31" i="1"/>
  <c r="AA32" i="1" s="1"/>
  <c r="S31" i="1"/>
  <c r="R31" i="1"/>
  <c r="Q31" i="1"/>
  <c r="O31" i="1"/>
  <c r="M31" i="1"/>
  <c r="K31" i="1"/>
  <c r="J31" i="1"/>
  <c r="I31" i="1"/>
  <c r="H31" i="1"/>
  <c r="G31" i="1"/>
  <c r="F31" i="1"/>
  <c r="E31" i="1"/>
  <c r="D31" i="1"/>
  <c r="C31" i="1"/>
  <c r="AF30" i="1"/>
  <c r="AI30" i="1" s="1"/>
  <c r="AE30" i="1"/>
  <c r="AD30" i="1"/>
  <c r="AC30" i="1"/>
  <c r="AF29" i="1"/>
  <c r="AI29" i="1" s="1"/>
  <c r="AE29" i="1"/>
  <c r="AD29" i="1"/>
  <c r="AC29" i="1"/>
  <c r="AB29" i="1"/>
  <c r="AA29" i="1"/>
  <c r="U29" i="1"/>
  <c r="U25" i="1" s="1"/>
  <c r="O29" i="1"/>
  <c r="O25" i="1" s="1"/>
  <c r="N29" i="1"/>
  <c r="N25" i="1" s="1"/>
  <c r="K29" i="1"/>
  <c r="K25" i="1" s="1"/>
  <c r="AF28" i="1"/>
  <c r="AE28" i="1"/>
  <c r="AD28" i="1"/>
  <c r="AC28" i="1"/>
  <c r="AB28" i="1"/>
  <c r="AA28" i="1"/>
  <c r="AE26" i="1"/>
  <c r="AD26" i="1"/>
  <c r="AC26" i="1"/>
  <c r="AB26" i="1"/>
  <c r="AA26" i="1"/>
  <c r="T25" i="1"/>
  <c r="S25" i="1"/>
  <c r="R25" i="1"/>
  <c r="Q25" i="1"/>
  <c r="P25" i="1"/>
  <c r="M25" i="1"/>
  <c r="L25" i="1"/>
  <c r="J25" i="1"/>
  <c r="I25" i="1"/>
  <c r="H25" i="1"/>
  <c r="G25" i="1"/>
  <c r="F25" i="1"/>
  <c r="E25" i="1"/>
  <c r="D25" i="1"/>
  <c r="C25" i="1"/>
  <c r="W24" i="1"/>
  <c r="W35" i="1" s="1"/>
  <c r="T24" i="1"/>
  <c r="S24" i="1"/>
  <c r="R24" i="1"/>
  <c r="Q24" i="1"/>
  <c r="P24" i="1"/>
  <c r="O24" i="1"/>
  <c r="M24" i="1"/>
  <c r="L24" i="1"/>
  <c r="J24" i="1"/>
  <c r="I24" i="1"/>
  <c r="H24" i="1"/>
  <c r="G24" i="1"/>
  <c r="F24" i="1"/>
  <c r="E24" i="1"/>
  <c r="D24" i="1"/>
  <c r="C24" i="1"/>
  <c r="AF23" i="1"/>
  <c r="AI23" i="1" s="1"/>
  <c r="AE23" i="1"/>
  <c r="AD23" i="1"/>
  <c r="AC23" i="1"/>
  <c r="AB23" i="1"/>
  <c r="AA23" i="1"/>
  <c r="U23" i="1"/>
  <c r="N23" i="1"/>
  <c r="N24" i="1" s="1"/>
  <c r="AF22" i="1"/>
  <c r="AI22" i="1" s="1"/>
  <c r="AE22" i="1"/>
  <c r="AD22" i="1"/>
  <c r="AC22" i="1"/>
  <c r="AB22" i="1"/>
  <c r="AA22" i="1"/>
  <c r="U22" i="1"/>
  <c r="AF21" i="1"/>
  <c r="AI21" i="1" s="1"/>
  <c r="AE21" i="1"/>
  <c r="AD21" i="1"/>
  <c r="AC21" i="1"/>
  <c r="AB21" i="1"/>
  <c r="AA21" i="1"/>
  <c r="U21" i="1"/>
  <c r="AF20" i="1"/>
  <c r="AI20" i="1" s="1"/>
  <c r="AE20" i="1"/>
  <c r="AD20" i="1"/>
  <c r="U20" i="1"/>
  <c r="AF19" i="1"/>
  <c r="AI19" i="1" s="1"/>
  <c r="AE19" i="1"/>
  <c r="AD19" i="1"/>
  <c r="AC19" i="1"/>
  <c r="AB19" i="1"/>
  <c r="AA19" i="1"/>
  <c r="U19" i="1"/>
  <c r="K19" i="1"/>
  <c r="AF18" i="1"/>
  <c r="AI18" i="1" s="1"/>
  <c r="AE18" i="1"/>
  <c r="AD18" i="1"/>
  <c r="AC18" i="1"/>
  <c r="AB18" i="1"/>
  <c r="AA18" i="1"/>
  <c r="U18" i="1"/>
  <c r="AF17" i="1"/>
  <c r="AE17" i="1"/>
  <c r="AD17" i="1"/>
  <c r="AC17" i="1"/>
  <c r="AB17" i="1"/>
  <c r="AA17" i="1"/>
  <c r="U17" i="1"/>
  <c r="K17" i="1"/>
  <c r="K24" i="1" s="1"/>
  <c r="W16" i="1"/>
  <c r="T16" i="1"/>
  <c r="S16" i="1"/>
  <c r="R16" i="1"/>
  <c r="Q16" i="1"/>
  <c r="O16" i="1"/>
  <c r="M16" i="1"/>
  <c r="L16" i="1"/>
  <c r="J16" i="1"/>
  <c r="I16" i="1"/>
  <c r="H16" i="1"/>
  <c r="G16" i="1"/>
  <c r="F16" i="1"/>
  <c r="E16" i="1"/>
  <c r="D16" i="1"/>
  <c r="AF15" i="1"/>
  <c r="AI15" i="1" s="1"/>
  <c r="AE15" i="1"/>
  <c r="AD15" i="1"/>
  <c r="AC15" i="1"/>
  <c r="AB15" i="1"/>
  <c r="AA15" i="1"/>
  <c r="U15" i="1"/>
  <c r="N15" i="1"/>
  <c r="N16" i="1" s="1"/>
  <c r="K15" i="1"/>
  <c r="K16" i="1" s="1"/>
  <c r="AF14" i="1"/>
  <c r="AI14" i="1" s="1"/>
  <c r="AE14" i="1"/>
  <c r="AD14" i="1"/>
  <c r="AC14" i="1"/>
  <c r="AB14" i="1"/>
  <c r="AA14" i="1"/>
  <c r="U14" i="1"/>
  <c r="AF13" i="1"/>
  <c r="AI13" i="1" s="1"/>
  <c r="AE13" i="1"/>
  <c r="AD13" i="1"/>
  <c r="AC13" i="1"/>
  <c r="AB13" i="1"/>
  <c r="AA13" i="1"/>
  <c r="U13" i="1"/>
  <c r="AF12" i="1"/>
  <c r="AI12" i="1" s="1"/>
  <c r="AE12" i="1"/>
  <c r="AD12" i="1"/>
  <c r="AC12" i="1"/>
  <c r="AB12" i="1"/>
  <c r="AA12" i="1"/>
  <c r="U12" i="1"/>
  <c r="AF11" i="1"/>
  <c r="AI11" i="1" s="1"/>
  <c r="AE11" i="1"/>
  <c r="AD11" i="1"/>
  <c r="AC11" i="1"/>
  <c r="AB11" i="1"/>
  <c r="AA11" i="1"/>
  <c r="U11" i="1"/>
  <c r="AF10" i="1"/>
  <c r="AI10" i="1" s="1"/>
  <c r="AE10" i="1"/>
  <c r="AD10" i="1"/>
  <c r="AC10" i="1"/>
  <c r="AB10" i="1"/>
  <c r="AA10" i="1"/>
  <c r="U10" i="1"/>
  <c r="AF9" i="1"/>
  <c r="AI9" i="1" s="1"/>
  <c r="AE9" i="1"/>
  <c r="AD9" i="1"/>
  <c r="AC9" i="1"/>
  <c r="AB9" i="1"/>
  <c r="AA9" i="1"/>
  <c r="U9" i="1"/>
  <c r="AF8" i="1"/>
  <c r="AI8" i="1" s="1"/>
  <c r="AE8" i="1"/>
  <c r="AD8" i="1"/>
  <c r="AC8" i="1"/>
  <c r="AB8" i="1"/>
  <c r="AA8" i="1"/>
  <c r="U8" i="1"/>
  <c r="P8" i="1"/>
  <c r="P16" i="1" s="1"/>
  <c r="C8" i="1"/>
  <c r="C16" i="1" s="1"/>
  <c r="AF7" i="1"/>
  <c r="AE7" i="1"/>
  <c r="AD7" i="1"/>
  <c r="AC7" i="1"/>
  <c r="AB7" i="1"/>
  <c r="AA7" i="1"/>
  <c r="U7" i="1"/>
  <c r="W36" i="1" l="1"/>
  <c r="F64" i="2"/>
  <c r="F26" i="2"/>
  <c r="H55" i="6"/>
  <c r="AC16" i="1"/>
  <c r="AD24" i="1"/>
  <c r="AA25" i="1"/>
  <c r="AE25" i="1"/>
  <c r="AD16" i="1"/>
  <c r="AA24" i="1"/>
  <c r="AB25" i="1"/>
  <c r="Y51" i="1"/>
  <c r="Y53" i="1" s="1"/>
  <c r="D54" i="2"/>
  <c r="AE16" i="1"/>
  <c r="AB24" i="1"/>
  <c r="AI17" i="1"/>
  <c r="AI24" i="1" s="1"/>
  <c r="AF24" i="1"/>
  <c r="AC25" i="1"/>
  <c r="AF25" i="1"/>
  <c r="AI28" i="1"/>
  <c r="AI25" i="1" s="1"/>
  <c r="D35" i="2"/>
  <c r="F63" i="2"/>
  <c r="AE24" i="1"/>
  <c r="AI49" i="1"/>
  <c r="Y16" i="1"/>
  <c r="X36" i="1"/>
  <c r="AA16" i="1"/>
  <c r="AB16" i="1"/>
  <c r="AF16" i="1"/>
  <c r="AI7" i="1"/>
  <c r="AI16" i="1" s="1"/>
  <c r="AC24" i="1"/>
  <c r="AD25" i="1"/>
  <c r="W57" i="1"/>
  <c r="W59" i="1" s="1"/>
  <c r="W60" i="1" s="1"/>
  <c r="C65" i="2"/>
  <c r="H43" i="6"/>
  <c r="E43" i="6"/>
  <c r="E57" i="6" s="1"/>
  <c r="Y56" i="1"/>
  <c r="V53" i="1"/>
  <c r="V57" i="1" s="1"/>
  <c r="V59" i="1" s="1"/>
  <c r="Y24" i="1"/>
  <c r="Y41" i="1"/>
  <c r="AA82" i="1"/>
  <c r="AA52" i="1" s="1"/>
  <c r="AE82" i="1"/>
  <c r="AE52" i="1" s="1"/>
  <c r="I15" i="2"/>
  <c r="D88" i="2"/>
  <c r="C67" i="2"/>
  <c r="C60" i="2"/>
  <c r="D50" i="2"/>
  <c r="D48" i="2" s="1"/>
  <c r="F7" i="2"/>
  <c r="F13" i="2"/>
  <c r="C33" i="2"/>
  <c r="C54" i="2"/>
  <c r="E73" i="2"/>
  <c r="D84" i="2"/>
  <c r="D17" i="2"/>
  <c r="C21" i="2"/>
  <c r="C20" i="2" s="1"/>
  <c r="D20" i="2" s="1"/>
  <c r="I28" i="2" s="1"/>
  <c r="I29" i="2" s="1"/>
  <c r="C34" i="2"/>
  <c r="C39" i="2" s="1"/>
  <c r="C43" i="2" s="1"/>
  <c r="D18" i="2"/>
  <c r="D65" i="2"/>
  <c r="L53" i="1"/>
  <c r="L57" i="1" s="1"/>
  <c r="L59" i="1" s="1"/>
  <c r="L60" i="1" s="1"/>
  <c r="Y43" i="1"/>
  <c r="Y49" i="1" s="1"/>
  <c r="AB56" i="1"/>
  <c r="P53" i="1"/>
  <c r="P57" i="1" s="1"/>
  <c r="P59" i="1" s="1"/>
  <c r="P33" i="1" s="1"/>
  <c r="P31" i="1" s="1"/>
  <c r="P34" i="1" s="1"/>
  <c r="P35" i="1" s="1"/>
  <c r="P36" i="1" s="1"/>
  <c r="T53" i="1"/>
  <c r="T57" i="1" s="1"/>
  <c r="T59" i="1" s="1"/>
  <c r="AB82" i="1"/>
  <c r="AB52" i="1" s="1"/>
  <c r="AG57" i="1"/>
  <c r="D57" i="1"/>
  <c r="H57" i="1"/>
  <c r="H59" i="1" s="1"/>
  <c r="H60" i="1" s="1"/>
  <c r="U82" i="1"/>
  <c r="U52" i="1" s="1"/>
  <c r="AD82" i="1"/>
  <c r="AD52" i="1" s="1"/>
  <c r="AD49" i="1"/>
  <c r="K53" i="1"/>
  <c r="K57" i="1" s="1"/>
  <c r="K59" i="1" s="1"/>
  <c r="K60" i="1" s="1"/>
  <c r="C34" i="1"/>
  <c r="C35" i="1" s="1"/>
  <c r="C36" i="1" s="1"/>
  <c r="K34" i="1"/>
  <c r="K35" i="1" s="1"/>
  <c r="K36" i="1" s="1"/>
  <c r="Q34" i="1"/>
  <c r="Q35" i="1" s="1"/>
  <c r="Q36" i="1" s="1"/>
  <c r="N53" i="1"/>
  <c r="N57" i="1" s="1"/>
  <c r="N59" i="1" s="1"/>
  <c r="N60" i="1" s="1"/>
  <c r="AC56" i="1"/>
  <c r="I57" i="1"/>
  <c r="I59" i="1" s="1"/>
  <c r="I60" i="1" s="1"/>
  <c r="AC82" i="1"/>
  <c r="AC52" i="1" s="1"/>
  <c r="U24" i="1"/>
  <c r="E34" i="1"/>
  <c r="E35" i="1" s="1"/>
  <c r="E36" i="1" s="1"/>
  <c r="M53" i="1"/>
  <c r="M57" i="1" s="1"/>
  <c r="M59" i="1" s="1"/>
  <c r="M60" i="1" s="1"/>
  <c r="Q53" i="1"/>
  <c r="Q57" i="1" s="1"/>
  <c r="Q59" i="1" s="1"/>
  <c r="Q60" i="1" s="1"/>
  <c r="S53" i="1"/>
  <c r="S57" i="1" s="1"/>
  <c r="S59" i="1" s="1"/>
  <c r="D34" i="1"/>
  <c r="D35" i="1" s="1"/>
  <c r="D36" i="1" s="1"/>
  <c r="H34" i="1"/>
  <c r="H35" i="1" s="1"/>
  <c r="H36" i="1" s="1"/>
  <c r="M34" i="1"/>
  <c r="M35" i="1" s="1"/>
  <c r="M36" i="1" s="1"/>
  <c r="I34" i="1"/>
  <c r="I35" i="1" s="1"/>
  <c r="I36" i="1" s="1"/>
  <c r="C57" i="1"/>
  <c r="C59" i="1" s="1"/>
  <c r="AB49" i="1"/>
  <c r="U16" i="1"/>
  <c r="G34" i="1"/>
  <c r="G35" i="1" s="1"/>
  <c r="G36" i="1" s="1"/>
  <c r="AC49" i="1"/>
  <c r="U56" i="1"/>
  <c r="AD56" i="1"/>
  <c r="S34" i="1"/>
  <c r="S35" i="1" s="1"/>
  <c r="S36" i="1" s="1"/>
  <c r="F57" i="1"/>
  <c r="F59" i="1" s="1"/>
  <c r="AE56" i="1"/>
  <c r="U67" i="1"/>
  <c r="U51" i="1" s="1"/>
  <c r="AD67" i="1"/>
  <c r="AD51" i="1" s="1"/>
  <c r="O34" i="1"/>
  <c r="O35" i="1" s="1"/>
  <c r="O36" i="1" s="1"/>
  <c r="G57" i="1"/>
  <c r="G59" i="1" s="1"/>
  <c r="G60" i="1" s="1"/>
  <c r="AC70" i="1"/>
  <c r="AC67" i="1" s="1"/>
  <c r="AC51" i="1" s="1"/>
  <c r="AB67" i="1"/>
  <c r="AB51" i="1" s="1"/>
  <c r="D58" i="1"/>
  <c r="D59" i="1" s="1"/>
  <c r="D60" i="1" s="1"/>
  <c r="AF43" i="1"/>
  <c r="AA56" i="1"/>
  <c r="Z53" i="1"/>
  <c r="Z57" i="1" s="1"/>
  <c r="F34" i="1"/>
  <c r="F35" i="1" s="1"/>
  <c r="J34" i="1"/>
  <c r="J35" i="1" s="1"/>
  <c r="J36" i="1" s="1"/>
  <c r="N34" i="1"/>
  <c r="N35" i="1" s="1"/>
  <c r="N36" i="1" s="1"/>
  <c r="R34" i="1"/>
  <c r="R35" i="1" s="1"/>
  <c r="R36" i="1" s="1"/>
  <c r="L32" i="1"/>
  <c r="L31" i="1" s="1"/>
  <c r="L34" i="1" s="1"/>
  <c r="L35" i="1" s="1"/>
  <c r="L36" i="1" s="1"/>
  <c r="T34" i="1"/>
  <c r="T35" i="1" s="1"/>
  <c r="T36" i="1" s="1"/>
  <c r="U49" i="1"/>
  <c r="O53" i="1"/>
  <c r="O57" i="1" s="1"/>
  <c r="O59" i="1" s="1"/>
  <c r="O60" i="1" s="1"/>
  <c r="F36" i="1"/>
  <c r="J57" i="1"/>
  <c r="J59" i="1" s="1"/>
  <c r="J60" i="1" s="1"/>
  <c r="AA49" i="1"/>
  <c r="AE49" i="1"/>
  <c r="R53" i="1"/>
  <c r="R57" i="1" s="1"/>
  <c r="R59" i="1" s="1"/>
  <c r="AF67" i="1"/>
  <c r="AA67" i="1"/>
  <c r="AA51" i="1" s="1"/>
  <c r="AE67" i="1"/>
  <c r="AE51" i="1" s="1"/>
  <c r="AE53" i="1" s="1"/>
  <c r="AF82" i="1"/>
  <c r="AF56" i="1"/>
  <c r="AI56" i="1" s="1"/>
  <c r="H57" i="6" l="1"/>
  <c r="AG59" i="1"/>
  <c r="AG60" i="1" s="1"/>
  <c r="Z59" i="1"/>
  <c r="Z33" i="1" s="1"/>
  <c r="Z31" i="1" s="1"/>
  <c r="Z34" i="1" s="1"/>
  <c r="Z35" i="1" s="1"/>
  <c r="Z36" i="1" s="1"/>
  <c r="V33" i="1"/>
  <c r="Y33" i="1"/>
  <c r="Y31" i="1" s="1"/>
  <c r="Y34" i="1" s="1"/>
  <c r="Y35" i="1" s="1"/>
  <c r="Y36" i="1" s="1"/>
  <c r="AA53" i="1"/>
  <c r="AA57" i="1" s="1"/>
  <c r="AC53" i="1"/>
  <c r="AC57" i="1" s="1"/>
  <c r="U53" i="1"/>
  <c r="U57" i="1" s="1"/>
  <c r="U59" i="1" s="1"/>
  <c r="U33" i="1" s="1"/>
  <c r="U31" i="1" s="1"/>
  <c r="U34" i="1" s="1"/>
  <c r="U35" i="1" s="1"/>
  <c r="U36" i="1" s="1"/>
  <c r="C35" i="2"/>
  <c r="F48" i="2"/>
  <c r="C49" i="2" s="1"/>
  <c r="D74" i="2"/>
  <c r="D75" i="2" s="1"/>
  <c r="D27" i="2"/>
  <c r="C17" i="2"/>
  <c r="C16" i="2"/>
  <c r="Y57" i="1"/>
  <c r="Y59" i="1" s="1"/>
  <c r="AB32" i="1"/>
  <c r="AB53" i="1"/>
  <c r="AB57" i="1" s="1"/>
  <c r="P60" i="1"/>
  <c r="AD53" i="1"/>
  <c r="AD57" i="1" s="1"/>
  <c r="AE57" i="1"/>
  <c r="AE59" i="1" s="1"/>
  <c r="AF49" i="1"/>
  <c r="AF52" i="1"/>
  <c r="AI52" i="1" s="1"/>
  <c r="AF51" i="1"/>
  <c r="AI51" i="1" s="1"/>
  <c r="D49" i="2" l="1"/>
  <c r="V31" i="1"/>
  <c r="V34" i="1" s="1"/>
  <c r="V35" i="1" s="1"/>
  <c r="V36" i="1" s="1"/>
  <c r="AD59" i="1"/>
  <c r="AD33" i="1" s="1"/>
  <c r="AI53" i="1"/>
  <c r="AI57" i="1" s="1"/>
  <c r="AI59" i="1" s="1"/>
  <c r="AC59" i="1"/>
  <c r="AC33" i="1" s="1"/>
  <c r="AB59" i="1"/>
  <c r="AB33" i="1" s="1"/>
  <c r="AB31" i="1" s="1"/>
  <c r="AB34" i="1" s="1"/>
  <c r="AB35" i="1" s="1"/>
  <c r="AB36" i="1" s="1"/>
  <c r="AA59" i="1"/>
  <c r="AA33" i="1" s="1"/>
  <c r="AA31" i="1" s="1"/>
  <c r="AA34" i="1" s="1"/>
  <c r="AA35" i="1" s="1"/>
  <c r="AA36" i="1" s="1"/>
  <c r="F35" i="2"/>
  <c r="D36" i="2" s="1"/>
  <c r="F27" i="2"/>
  <c r="C38" i="2"/>
  <c r="AF53" i="1"/>
  <c r="AF57" i="1" s="1"/>
  <c r="AF59" i="1" s="1"/>
  <c r="AD32" i="1"/>
  <c r="AC32" i="1"/>
  <c r="AE64" i="1"/>
  <c r="AE33" i="1"/>
  <c r="AC31" i="1" l="1"/>
  <c r="AC34" i="1" s="1"/>
  <c r="AC35" i="1" s="1"/>
  <c r="AC36" i="1" s="1"/>
  <c r="AD31" i="1"/>
  <c r="AD34" i="1" s="1"/>
  <c r="AD35" i="1" s="1"/>
  <c r="AD36" i="1" s="1"/>
  <c r="D56" i="2"/>
  <c r="C40" i="2"/>
  <c r="C42" i="2"/>
  <c r="C44" i="2" s="1"/>
  <c r="I26" i="2"/>
  <c r="F28" i="2"/>
  <c r="C36" i="2"/>
  <c r="AF64" i="1"/>
  <c r="AE32" i="1"/>
  <c r="AE31" i="1" s="1"/>
  <c r="AE34" i="1" s="1"/>
  <c r="AE35" i="1" s="1"/>
  <c r="AE36" i="1" s="1"/>
  <c r="D82" i="2" l="1"/>
  <c r="D67" i="2"/>
  <c r="F67" i="2" s="1"/>
  <c r="D60" i="2"/>
  <c r="F56" i="2"/>
  <c r="AF33" i="1"/>
  <c r="F60" i="2" l="1"/>
  <c r="G60" i="2" s="1"/>
  <c r="H60" i="2" s="1"/>
  <c r="H61" i="2" s="1"/>
  <c r="G55" i="2"/>
  <c r="H55" i="2" s="1"/>
  <c r="AI33" i="1"/>
  <c r="AI31" i="1" s="1"/>
  <c r="AI34" i="1" s="1"/>
  <c r="AI35" i="1" s="1"/>
  <c r="AI36" i="1" s="1"/>
  <c r="AF31" i="1"/>
  <c r="AF34" i="1" s="1"/>
  <c r="AF35" i="1" s="1"/>
  <c r="AF36" i="1" s="1"/>
  <c r="AE37" i="1"/>
  <c r="F65" i="2"/>
  <c r="C58" i="2"/>
  <c r="F75" i="2"/>
  <c r="D89" i="2"/>
  <c r="D90" i="2" s="1"/>
  <c r="D83" i="2"/>
  <c r="G88" i="2" s="1"/>
  <c r="D68" i="2"/>
  <c r="C68" i="2"/>
  <c r="D58" i="2"/>
  <c r="AF60" i="1"/>
  <c r="G89" i="2" l="1"/>
  <c r="G90" i="2"/>
</calcChain>
</file>

<file path=xl/sharedStrings.xml><?xml version="1.0" encoding="utf-8"?>
<sst xmlns="http://schemas.openxmlformats.org/spreadsheetml/2006/main" count="912" uniqueCount="441">
  <si>
    <t>Тайлант хугацаа:2018.11.30</t>
  </si>
  <si>
    <t xml:space="preserve"> 1.САНХҮҮГИЙН ТАЙЛАН</t>
  </si>
  <si>
    <t>(сая төгрөгөөр)</t>
  </si>
  <si>
    <t>2015-q4</t>
  </si>
  <si>
    <t>2016-q1</t>
  </si>
  <si>
    <t>2016.04.30</t>
  </si>
  <si>
    <t>2016.05.31</t>
  </si>
  <si>
    <t>2016-q2</t>
  </si>
  <si>
    <t>2016-q3</t>
  </si>
  <si>
    <t>2016.10.31</t>
  </si>
  <si>
    <t>2016.11.30</t>
  </si>
  <si>
    <t>2016 q4</t>
  </si>
  <si>
    <t>2017.01.31</t>
  </si>
  <si>
    <t>2017.02.28</t>
  </si>
  <si>
    <t>2017-q1</t>
  </si>
  <si>
    <t>2017.04.30</t>
  </si>
  <si>
    <t>2017.05.31</t>
  </si>
  <si>
    <t>2017-q2</t>
  </si>
  <si>
    <t>2017 Jul</t>
  </si>
  <si>
    <t>2017 Aug</t>
  </si>
  <si>
    <t>2017 q3</t>
  </si>
  <si>
    <t>2017 Nov</t>
  </si>
  <si>
    <t>2017q4</t>
  </si>
  <si>
    <t>2018q1</t>
  </si>
  <si>
    <t>2018-May</t>
  </si>
  <si>
    <t>2018q2</t>
  </si>
  <si>
    <t>2018-jul</t>
  </si>
  <si>
    <t>2018 Aug</t>
  </si>
  <si>
    <t>2018q3</t>
  </si>
  <si>
    <t>2018-Nov</t>
  </si>
  <si>
    <t>A</t>
  </si>
  <si>
    <t>1</t>
  </si>
  <si>
    <t>B</t>
  </si>
  <si>
    <t>C</t>
  </si>
  <si>
    <t>2</t>
  </si>
  <si>
    <t>3</t>
  </si>
  <si>
    <t>Мөнгөн хөрөнгө</t>
  </si>
  <si>
    <t>Авлага, бараа материал</t>
  </si>
  <si>
    <t>Бусдад олгосон зээл</t>
  </si>
  <si>
    <t>Урьдчилж төлсөн тооцоо</t>
  </si>
  <si>
    <t>Үндсэн хөрөнгө</t>
  </si>
  <si>
    <t>БЗҮХХөрөнгө</t>
  </si>
  <si>
    <t>Биет бус хөрөнгө</t>
  </si>
  <si>
    <t>Богино хугацаат хөрөнгө оруулалт</t>
  </si>
  <si>
    <t>Урт хугацаат хөрөнгө оруулалт</t>
  </si>
  <si>
    <t>НИЙТ ХӨРӨНГИЙН ДҮН</t>
  </si>
  <si>
    <t>Дансны өглөг</t>
  </si>
  <si>
    <t>Бусдаас авсан зээл</t>
  </si>
  <si>
    <t>Татварын өр</t>
  </si>
  <si>
    <t>УОО</t>
  </si>
  <si>
    <t>Бусад богино хугацаат өр төлбөр</t>
  </si>
  <si>
    <t>Урт хугацаат өр төлбөр</t>
  </si>
  <si>
    <t>Хойшлогдсон татварын өглөг</t>
  </si>
  <si>
    <t>Өр төлбөрийн нийт дүн</t>
  </si>
  <si>
    <t>Хувьцаат капитал</t>
  </si>
  <si>
    <t>Энгийн хувьцаа</t>
  </si>
  <si>
    <t>Нэмж төлөгдсөн капитал</t>
  </si>
  <si>
    <t>БҮЦӨ</t>
  </si>
  <si>
    <t>Эздийн өмчийн бусад хэсэг</t>
  </si>
  <si>
    <t>Хуримтлагдсан ашиг</t>
  </si>
  <si>
    <t>Өмнөх үеийн ашиг</t>
  </si>
  <si>
    <t>Тайлант үеийн цэвэр ашиг</t>
  </si>
  <si>
    <t>Эздийн өмчийн дүн</t>
  </si>
  <si>
    <t>ӨР ТӨЛБӨР БА ЭЗДИЙН ӨМЧИЙН ДҮН</t>
  </si>
  <si>
    <t>2. ОРЛОГЫН ТАЙЛАН</t>
  </si>
  <si>
    <t>Орлого үр дүнгийн тайлан</t>
  </si>
  <si>
    <t>Хувьцаа ХО борлуулсны орлого</t>
  </si>
  <si>
    <t>Хувьцаа ХО өртөг</t>
  </si>
  <si>
    <t>Хөрөнгө Оруулалтын ашиг</t>
  </si>
  <si>
    <t>Хүүний орлого</t>
  </si>
  <si>
    <t>Ноогдол ашгийн орлого</t>
  </si>
  <si>
    <t>Түрээсийн орлого</t>
  </si>
  <si>
    <t>Менежментийн орлого</t>
  </si>
  <si>
    <t xml:space="preserve">Хувьцаа арилжааны орлого </t>
  </si>
  <si>
    <t>Нийт орлого, ашиг</t>
  </si>
  <si>
    <t xml:space="preserve">Боловсон хүчний зардал </t>
  </si>
  <si>
    <t>Үйл ажиллагааны зардал</t>
  </si>
  <si>
    <t>Санхүүгийн зардал</t>
  </si>
  <si>
    <t>Нийт зардал</t>
  </si>
  <si>
    <t>Бусад зардал</t>
  </si>
  <si>
    <t>Ханшийн зөрүүгийн ашиг (цэвэр)</t>
  </si>
  <si>
    <t>Бусад олз гарз</t>
  </si>
  <si>
    <t>Татвар төлөхийн өмнөх  ашиг/ алдагдал</t>
  </si>
  <si>
    <t>Орлогын татварын зардал</t>
  </si>
  <si>
    <t>Тайлант үеийн цэвэр ашиг (алдагдал)</t>
  </si>
  <si>
    <t xml:space="preserve">3. ЗАРДАЛ </t>
  </si>
  <si>
    <t>Нийт</t>
  </si>
  <si>
    <t>Түрээсийн зардал</t>
  </si>
  <si>
    <t>Ашиглалтын зардал (холбоо+бичиг хэрэг+элэгдэл+бусад)</t>
  </si>
  <si>
    <t>Томилолтын зардал</t>
  </si>
  <si>
    <t>Маркетинг, зар сурталчилгаа</t>
  </si>
  <si>
    <t>Тээвэр шатахууны зардал</t>
  </si>
  <si>
    <t>Мэргэжлийн байгууллагад төлсөн зардал</t>
  </si>
  <si>
    <t xml:space="preserve">Хандив тусламж, тусгай арга хэмжээ </t>
  </si>
  <si>
    <t>Гишүүнчлэлийн төлбөр</t>
  </si>
  <si>
    <t xml:space="preserve">Найдваргүй авлагын зардал </t>
  </si>
  <si>
    <t>Бизнес уулзалт, ТУЗ-н зардал</t>
  </si>
  <si>
    <t>Шагнал урамшууллын зардал</t>
  </si>
  <si>
    <t>Зээл/бонд хүүгийн зардал</t>
  </si>
  <si>
    <t>Банкны шимтгэл</t>
  </si>
  <si>
    <t xml:space="preserve">                                              Нягтлан Бодогч:</t>
  </si>
  <si>
    <t xml:space="preserve"> Нягтлан Бодогч:</t>
  </si>
  <si>
    <t xml:space="preserve">          Т.Оюун-Эрдэнэ</t>
  </si>
  <si>
    <t xml:space="preserve">                                             Санхүү эрхэлсэн захирал:</t>
  </si>
  <si>
    <t xml:space="preserve"> Санхүү Хариуцсан Захирал:</t>
  </si>
  <si>
    <t xml:space="preserve">                Ч.Ганзориг </t>
  </si>
  <si>
    <t>ACН</t>
  </si>
  <si>
    <t>ЖУ</t>
  </si>
  <si>
    <t>Тайлант хугацаа:2017.12.31</t>
  </si>
  <si>
    <t>Ардын үнэлгээ</t>
  </si>
  <si>
    <t>Дотоод үнэлгээ (нийт гаргасан)</t>
  </si>
  <si>
    <t>Дотоод үнэлгээ (саналын эрхтэй)</t>
  </si>
  <si>
    <t>Зах зээлийн үнэ</t>
  </si>
  <si>
    <t>Хувьцааны тоо</t>
  </si>
  <si>
    <t>Нэгжийн үнэ</t>
  </si>
  <si>
    <t>Нийт үнэ</t>
  </si>
  <si>
    <t>Жинст Увс үнэлгээ</t>
  </si>
  <si>
    <t>Жинст Увс хөрөнгө</t>
  </si>
  <si>
    <t>Хаалт</t>
  </si>
  <si>
    <t>2016 оны дундаж ханш</t>
  </si>
  <si>
    <t>Нэгдэх үнэлгээ</t>
  </si>
  <si>
    <t>Ардын хувьцаа</t>
  </si>
  <si>
    <t>Жинст Увсын үнэлгээний давуу тал</t>
  </si>
  <si>
    <t>Хөрөнгийн үнэлгээнээс өндөр</t>
  </si>
  <si>
    <t>52 долоо хоногийн дундаж зах зээлийн үнэлгээнээс өндөр</t>
  </si>
  <si>
    <t>Нэгдэх тооцоо</t>
  </si>
  <si>
    <t>Ард Холдингс/Жинст Увс</t>
  </si>
  <si>
    <t>Жинст Увсын хувьцааны үнэ</t>
  </si>
  <si>
    <t>Ард Холдингсийн хувьцааны үнэ</t>
  </si>
  <si>
    <t>Жинст Увсын хувьцааны тоо</t>
  </si>
  <si>
    <t>Хувьцаа хөрвүүлэлтийн зөрүү</t>
  </si>
  <si>
    <t>Хувьцаа эзэмшигчид</t>
  </si>
  <si>
    <t>Нэгдэхээс өмнө</t>
  </si>
  <si>
    <t>Нэмж гаргах</t>
  </si>
  <si>
    <t>Бүхэлчилсэн хувьцаа (зассан)</t>
  </si>
  <si>
    <t>Жинст Увс</t>
  </si>
  <si>
    <t>Хөрвүүлэх ёстой хувьцаа</t>
  </si>
  <si>
    <t>Ард Холдингс</t>
  </si>
  <si>
    <t>Зөрүү</t>
  </si>
  <si>
    <t>Нэгдэх тоо</t>
  </si>
  <si>
    <t>Үнэлгээ</t>
  </si>
  <si>
    <t>Эзлэх хувь</t>
  </si>
  <si>
    <t>Нэмж хувьцаа гаргах /засвар/</t>
  </si>
  <si>
    <t>Нэгдэх</t>
  </si>
  <si>
    <t>Нэгдэх тооцоо-гэрээ</t>
  </si>
  <si>
    <t>Үзүүлэлт</t>
  </si>
  <si>
    <t>Жинст Увс ХК</t>
  </si>
  <si>
    <t>Ард Санхүүгийн Нэгдэл ХК</t>
  </si>
  <si>
    <t>Устгах бичилт</t>
  </si>
  <si>
    <t>Нэгдсэн дүн</t>
  </si>
  <si>
    <t>Нэгж хувьцааны үнэлгээ</t>
  </si>
  <si>
    <t xml:space="preserve">Хувьцаа </t>
  </si>
  <si>
    <t xml:space="preserve">Хувьцааны тоо </t>
  </si>
  <si>
    <t>Хувь нийлүүлсэн хөрөнгө</t>
  </si>
  <si>
    <t>Хувьцаа /үнэлгээнд суурилсан засвар/</t>
  </si>
  <si>
    <t xml:space="preserve">Нийт хувьцааны тоо </t>
  </si>
  <si>
    <t xml:space="preserve">   Халаасны хувьцаа</t>
  </si>
  <si>
    <t>Нийт хувь нийлүүлсэн хөрөнгө</t>
  </si>
  <si>
    <t xml:space="preserve">   Халаасны хувьцааны үнийн дүн</t>
  </si>
  <si>
    <t>Нийт хөрөнгө (цэвэршүүлсэн дүн)</t>
  </si>
  <si>
    <t>Өр төлбөр (цэвэршүүлсэн дүн)</t>
  </si>
  <si>
    <t>Эздийн өмч (цэвэршүүлсэн дүн)</t>
  </si>
  <si>
    <t>Дансны үнэ</t>
  </si>
  <si>
    <t>Халаасны хувьцаа</t>
  </si>
  <si>
    <t>Нэгдсэний дараа</t>
  </si>
  <si>
    <t>Ард</t>
  </si>
  <si>
    <t>Хувьцааны үлдэгдэл</t>
  </si>
  <si>
    <t>Гаргасан хувьцааны тоо.........................</t>
  </si>
  <si>
    <t>Нэмж гаргасан хувьцааны тоо .........................</t>
  </si>
  <si>
    <t>Нэгдсэний дараах хувьцааны тоо ..............................</t>
  </si>
  <si>
    <t>Халаасны хувьцааны тоо .........</t>
  </si>
  <si>
    <t>Хувьцаа эзэмшигчийн бүтэц</t>
  </si>
  <si>
    <t>Хувьцаа эзэмшигч</t>
  </si>
  <si>
    <t>Нэгдэхийн өмнөх Жинст Увс ХК-ийн хувьцаа эзэмшигч</t>
  </si>
  <si>
    <t>Нэгдэхийн өмнөх Ард Санхүүгийн Нэгдэл ХК-ийн хувьцаа эзэмшигч</t>
  </si>
  <si>
    <t>Тохируулга</t>
  </si>
  <si>
    <t>/төгрөгөөр/</t>
  </si>
  <si>
    <t>№</t>
  </si>
  <si>
    <t>ХӨРӨНГӨ</t>
  </si>
  <si>
    <t>Эргэлтийн хөрөнгө</t>
  </si>
  <si>
    <t>1.1.1</t>
  </si>
  <si>
    <t>Мөнгө,түүнтэй адилтгах хөрөнгө</t>
  </si>
  <si>
    <t>1.1.2</t>
  </si>
  <si>
    <t>Дансны авлага</t>
  </si>
  <si>
    <t>1.1.3</t>
  </si>
  <si>
    <t>Татвар, НДШ – 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</si>
  <si>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</si>
  <si>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</si>
  <si>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</si>
  <si>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</si>
  <si>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</si>
  <si>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</si>
  <si>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</si>
  <si>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</si>
  <si>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</si>
  <si>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</si>
  <si>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</si>
  <si>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 xml:space="preserve">Борлуулах зорилгоор эзэмшиж буй эргэлтийн бус хөрөнгө </t>
  </si>
  <si>
    <t>1.1.10</t>
  </si>
  <si>
    <t>1.1.11</t>
  </si>
  <si>
    <t>Эргэлтийн хөрөнгийн дүн</t>
  </si>
  <si>
    <t>Эргэлтийн бус хөрөнгө</t>
  </si>
  <si>
    <t>1.2.1</t>
  </si>
  <si>
    <t>1.2.2</t>
  </si>
  <si>
    <t>1.2.3</t>
  </si>
  <si>
    <t>Биологийн хөрөнгө</t>
  </si>
  <si>
    <t>1.2.4</t>
  </si>
  <si>
    <t>Урт хугацаат 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</si>
  <si>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</si>
  <si>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</si>
  <si>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</si>
  <si>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</si>
  <si>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</si>
  <si>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</si>
  <si>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</si>
  <si>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</si>
  <si>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</si>
  <si>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</si>
  <si>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</si>
  <si>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ӨР ТӨЛБӨР БА ЭЗДИЙН ӨМЧ</t>
  </si>
  <si>
    <t>Өр төлбөр</t>
  </si>
  <si>
    <t>2.1.1</t>
  </si>
  <si>
    <t>Богино хугацаат өр төлбөр</t>
  </si>
  <si>
    <t>2.1.1.1</t>
  </si>
  <si>
    <t>2.1.1.2</t>
  </si>
  <si>
    <t>Цалингийн  өглөг</t>
  </si>
  <si>
    <t>2.1.1.3</t>
  </si>
  <si>
    <t>2.1.1.4</t>
  </si>
  <si>
    <t>НДШ - ийн  өглөг</t>
  </si>
  <si>
    <t>2.1.1.5</t>
  </si>
  <si>
    <t>Банкны богино хугацаат зээл</t>
  </si>
  <si>
    <t>2.1.1.6</t>
  </si>
  <si>
    <t>Хүүний  өглөг</t>
  </si>
  <si>
    <t>2.1.1.7</t>
  </si>
  <si>
    <t>Ногдол ашгийн  өглөг</t>
  </si>
  <si>
    <t>2.1.1.8</t>
  </si>
  <si>
    <t>Урьдчилж орсон орлого</t>
  </si>
  <si>
    <t>2.1.1.9</t>
  </si>
  <si>
    <t>Нөөц  /өр төлбөр/</t>
  </si>
  <si>
    <t>2.1.1.10</t>
  </si>
  <si>
    <t>2.1.1.11</t>
  </si>
  <si>
    <t>Борлуулах зорилгоор эзэмшиж буй бүлэг хөрөнгөнд хамаарах өр төлбөр</t>
  </si>
  <si>
    <t>Богино хугацаат өр төлбөрийн дүн</t>
  </si>
  <si>
    <t>2.1.2</t>
  </si>
  <si>
    <t>2.1.2.1</t>
  </si>
  <si>
    <t>Урт хугацаат зээл</t>
  </si>
  <si>
    <t>2.1.2.2</t>
  </si>
  <si>
    <t>Нөөц /өр төлбөр/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</si>
  <si>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</si>
  <si>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</si>
  <si>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</si>
  <si>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</si>
  <si>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</si>
  <si>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</si>
  <si>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</si>
  <si>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Эздийн өмч</t>
  </si>
  <si>
    <t>Өмч:</t>
  </si>
  <si>
    <t>2.3.1</t>
  </si>
  <si>
    <t xml:space="preserve">   -  төрийн</t>
  </si>
  <si>
    <t>2.3.2</t>
  </si>
  <si>
    <t xml:space="preserve">          -  хувийн</t>
  </si>
  <si>
    <t>2.3.3</t>
  </si>
  <si>
    <t xml:space="preserve">          -  хувьцаат</t>
  </si>
  <si>
    <t>2.3.4</t>
  </si>
  <si>
    <t>2.3.5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</si>
  <si>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</si>
  <si>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</si>
  <si>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</si>
  <si>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</si>
  <si>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</si>
  <si>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2.3.9</t>
  </si>
  <si>
    <t>2.3.10</t>
  </si>
  <si>
    <t>2.3.11</t>
  </si>
  <si>
    <t>Борлуулалтын орлого (цэвэр)</t>
  </si>
  <si>
    <t>Борлуулсан бүтээгдэхүүний өртөг</t>
  </si>
  <si>
    <t>Нийт ашиг ( алдагдал)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</si>
  <si>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</si>
  <si>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</si>
  <si>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</si>
  <si>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</si>
  <si>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</si>
  <si>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Гадаад валютын ханшийн зөрүүний  олз (гарз)</t>
  </si>
  <si>
    <t>Үндсэн хөрөнгө данснаас хассаны олз (гарз)</t>
  </si>
  <si>
    <t>15</t>
  </si>
  <si>
    <t>Биет бус хөрөнгө данснаас хассаны олз (гарз)</t>
  </si>
  <si>
    <t>16</t>
  </si>
  <si>
    <t>Хөрөнгө оруулалт борлуулснаас үүссэн  олз (гарз)</t>
  </si>
  <si>
    <t>Бусад ашиг ( алдагдал)</t>
  </si>
  <si>
    <t>Татвар төлөхийн өмнөх  ашиг (алдагдал)</t>
  </si>
  <si>
    <t>Ердийн үйл ажиллагааны татварын дараах ашиг (алдагдал)</t>
  </si>
  <si>
    <t>Зогсоосон үйл ажиллагааны татварын дараах ашиг (алдагдал)</t>
  </si>
  <si>
    <t>Тайлант үеийн цэвэр ашиг ( 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</si>
  <si>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</si>
  <si>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</si>
  <si>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</si>
  <si>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 олз (гарз)</t>
  </si>
  <si>
    <t>Нийт дэлгэрэнгүй орлогын дүн</t>
  </si>
  <si>
    <t>Нэгж хувьцаанд ногдох суурь ашиг (алдагдал)</t>
  </si>
  <si>
    <t>Багана</t>
  </si>
  <si>
    <t>ҮЗҮҮЛЭЛТ</t>
  </si>
  <si>
    <t>Өмч</t>
  </si>
  <si>
    <t>Нийт дүн</t>
  </si>
  <si>
    <t>Нягтлан бодох бүртгэлийн бодлогын өөрчлөлтийн нөлөө, алдааны залруулга</t>
  </si>
  <si>
    <t>Залруулсан  үлдэгдэл</t>
  </si>
  <si>
    <t>Өмчид гарсан өөрчлөлт</t>
  </si>
  <si>
    <t>Зарласан ногдол ашиг</t>
  </si>
  <si>
    <t>Дахин үнэлгээний нэмэгдлийн хэрэгжсэн дүн</t>
  </si>
  <si>
    <t>ҮНДСЭН ҮЙЛ АЖИЛЛАГААНЫ МӨНГӨН ГҮЙЛГЭЭ</t>
  </si>
  <si>
    <t xml:space="preserve">    Мөнгөн орлогын дүн</t>
  </si>
  <si>
    <t>Бараа борлуулсан, үйлчилгээ үзүүлсний орлого</t>
  </si>
  <si>
    <t>Эрхийн шимтгэл, хураамж, төлбөрийн орлого</t>
  </si>
  <si>
    <t xml:space="preserve">   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</si>
  <si>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</si>
  <si>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</si>
  <si>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</si>
  <si>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</si>
  <si>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</si>
  <si>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</si>
  <si>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</si>
  <si>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</si>
  <si>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</si>
  <si>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 ( санхүү )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</si>
  <si>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</si>
  <si>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</si>
  <si>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</si>
  <si>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</si>
  <si>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ОРУУЛЛАЛТЫН МӨНГӨН ГҮЙЛГЭЭ</t>
  </si>
  <si>
    <t>Мөнгөн орлогын дүн</t>
  </si>
  <si>
    <t>Үндсэн хөрөнгө борлуулсны орлого</t>
  </si>
  <si>
    <t>Биет бус хөрөнгө борлуулсны орлого</t>
  </si>
  <si>
    <t>2.1.3</t>
  </si>
  <si>
    <t>Хөрөнгө оруулалт борлуулсны орлого</t>
  </si>
  <si>
    <t>2.1.4</t>
  </si>
  <si>
    <t>Бусад урт хугацаат хөрөнгө борлуулсны орлого</t>
  </si>
  <si>
    <t>2.1.5</t>
  </si>
  <si>
    <t>Бусдад олгосон зээл, мөнгөн   урьдчилгааны буцаан төлөлт</t>
  </si>
  <si>
    <t>2.1.6</t>
  </si>
  <si>
    <t>Хүлээн авсан хүүний орлого</t>
  </si>
  <si>
    <t>2.1.7</t>
  </si>
  <si>
    <t>Хүлээн авсан ногдол ашиг</t>
  </si>
  <si>
    <t>2.1.8</t>
  </si>
  <si>
    <t>2.2.1</t>
  </si>
  <si>
    <t>Үндсэн хөрөнгө олж эзэмшихэд төлсөн</t>
  </si>
  <si>
    <t>2.2.2</t>
  </si>
  <si>
    <t>Биет бус хөрөнгө олж эзэмшихэд төлсөн</t>
  </si>
  <si>
    <t>2.2.3</t>
  </si>
  <si>
    <t>Хөрөнгө оруулалт олж эзэмшихэд төлсөн</t>
  </si>
  <si>
    <t>2.2.4</t>
  </si>
  <si>
    <t>Бусад урт хугацаат хөрөнгө олж эзэмшихэд төлсөн</t>
  </si>
  <si>
    <t>2.2.5</t>
  </si>
  <si>
    <t>Бусдад олгосон зээл болон урьдчилгаа</t>
  </si>
  <si>
    <t>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</si>
  <si>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</si>
  <si>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</si>
  <si>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</si>
  <si>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>Зээл авсан, өрийн үнэт цаас гаргаснаас хүлээн авсан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</si>
  <si>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</si>
  <si>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</si>
  <si>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</si>
  <si>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</si>
  <si>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</si>
  <si>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</si>
  <si>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</si>
  <si>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</si>
  <si>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>Санхүүгийн түрээсийн өглөгт төлсөн</t>
  </si>
  <si>
    <t>3.2.3</t>
  </si>
  <si>
    <t>Хувьцаа буцаан худалдаж авахад төлсөн</t>
  </si>
  <si>
    <t>3.2.4</t>
  </si>
  <si>
    <t>Төлсөн ногдол ашиг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</si>
  <si>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</si>
  <si>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</si>
  <si>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</si>
  <si>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</si>
  <si>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</si>
  <si>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Тайлант хугацаа: 2017/12/31</t>
  </si>
  <si>
    <t>2017Q4</t>
  </si>
  <si>
    <t>Устгал бичилт</t>
  </si>
  <si>
    <t>НИЙТ ӨР ТӨЛБӨРИЙН ДҮН</t>
  </si>
  <si>
    <t>Бодит үнэ цэнийн нөөц</t>
  </si>
  <si>
    <t>АСН ХК</t>
  </si>
  <si>
    <t>ЖУ ХК</t>
  </si>
  <si>
    <t>АСН &amp; ЖУ</t>
  </si>
  <si>
    <t>Залруулсан үлдэгдэл</t>
  </si>
  <si>
    <t>( төгрөгөөр )</t>
  </si>
  <si>
    <t>д/д</t>
  </si>
  <si>
    <t>НТК</t>
  </si>
  <si>
    <t>Дахин үнэлгээний нөөц</t>
  </si>
  <si>
    <t>НББ-ын бодлогын өөрчлөлтийн нөлөө, алдааны залруулга</t>
  </si>
  <si>
    <t xml:space="preserve">Тайлант үеийн цэвэр ашиг/ алдагдал </t>
  </si>
  <si>
    <t>АСН &amp; ЖУ ХК</t>
  </si>
  <si>
    <t>2018 Nov</t>
  </si>
  <si>
    <t>2350818-1648226-159026</t>
  </si>
  <si>
    <t>4108-01-001 - Бодит үнэ цэнийн тохируулгын нөөц</t>
  </si>
  <si>
    <t>Төгрөг</t>
  </si>
  <si>
    <t>Гүйлгээний дугаар</t>
  </si>
  <si>
    <t>Гүйлгээний огноо</t>
  </si>
  <si>
    <t>Харилцагч</t>
  </si>
  <si>
    <t>Гүйлгээний утга</t>
  </si>
  <si>
    <t>Харьцсан данс</t>
  </si>
  <si>
    <t>Дебит</t>
  </si>
  <si>
    <t>Кредит</t>
  </si>
  <si>
    <t>Үлдэгдэл</t>
  </si>
  <si>
    <t>Эхний үлдэгдэл</t>
  </si>
  <si>
    <t>2-0012 Жинст-Увс ХК</t>
  </si>
  <si>
    <t>ХОҮ+Жинст Увс 2017оны жилийн эцсээрх БҮЦ өөрчлөлт бүртгэв</t>
  </si>
  <si>
    <t>2301-01-001 - Бусад дэлгэрэнгүй орлогоор илэрхийлэх ХО</t>
  </si>
  <si>
    <t>БҮЦТохируулга хийв Аудитын залруулгаар</t>
  </si>
  <si>
    <t>МХБ-ийн хаалтын ханш 2018,03,31 1709₮, тохируулга хийв JIV 171672ш+10000ш(5гэрээ бүртгэгдээгүй)</t>
  </si>
  <si>
    <t>ЖУ ХК 20861ш хувьцаа борлуулав</t>
  </si>
  <si>
    <t>(олон данстай харьцсан)</t>
  </si>
  <si>
    <t>ЖУ ХК 9474ш хувьцаа борлуулав</t>
  </si>
  <si>
    <t>ЖУ ХК 12279ш хувьцаа борлуулав</t>
  </si>
  <si>
    <t>ЖУ ХК 13199ш хувьцаа борлуулав</t>
  </si>
  <si>
    <t>ЖУ ХК 48206ш хувьцаа борлуулав</t>
  </si>
  <si>
    <t>ЖУ ХК 51622ш хувьцаа борлуулав</t>
  </si>
  <si>
    <t>ЖУ ХК 6490ш хувьцаа борлуулав</t>
  </si>
  <si>
    <t>МХБ-ийн хаалтын ханш 2018.04.30 1700₮, тохируулга хийв JIV 9541ш+10000ш(5гэрээ бүртгэгдээгүй)</t>
  </si>
  <si>
    <t>МХБ-ийн хаалтын ханш 2018.05.31 1500₮, тохируулга хийв JIV 9541ш+10000ш(5гэрээ бүртгэгдээгүй)</t>
  </si>
  <si>
    <t>МХБ-ийн хаалтын ханш 2018.06,30 1490₮, тохируулга хийв JIV 9541ш+10000ш(5гэрээ бүртгэгдээгүй)</t>
  </si>
  <si>
    <t>МХБ-ийн хаалтын ханш 2018.07.31 1544₮, тохируулга хийв JIV 17457ш+10000ш(5гэрээ бүртгэгдээгүй)</t>
  </si>
  <si>
    <t>МХБ-ийн хаалтын ханш 2018.08.31 1470₮, тохируулга хийв JIV 17457ш+10000ш(5гэрээ бүртгэгдээгүй)</t>
  </si>
  <si>
    <t>АСН &amp;amp; АД гэрээний дагуу хийгдэв 17457*1670шилжүүлэв. 08,31 ханш 1470*17457 тохируулга хийв</t>
  </si>
  <si>
    <t>МХБ-ийн хаалтын ханш 2018.09.30 1670₮, тохируулга хийв JIV 10000ш(5гэрээ бүртгэгдээгүй)</t>
  </si>
  <si>
    <t>МХБ-ийн хаалтын ханш 2018,10,31 1611₮, тохируулга хийв JIV 10000ш(5гэрээ бүртгэгдээгүй)</t>
  </si>
  <si>
    <t>3203-01-001 - Хойшлогдсон татварын өр -&gt; 2-0012 Жинст-Увс ХК</t>
  </si>
  <si>
    <t>Дуусгавар хугацаа хүртэл эзэмших санхүүгийн хөрөнгө</t>
  </si>
  <si>
    <t xml:space="preserve"> НЭГТГЭСЭН МӨНГӨН ГҮЙЛГЭЭНИЙ ТАЙЛАН</t>
  </si>
  <si>
    <t>НЭГТГЭСЭН ОРЛОГЫН ДЭЛГЭРЭНГҮЙ ТАЙЛАН</t>
  </si>
  <si>
    <t>НЭГТГЭСЭН САНХҮҮГИЙН БАЙДЛЫН ТАЙЛАН</t>
  </si>
  <si>
    <t>2018 оны 12-р сарын 31 -ний үлдэгдэл</t>
  </si>
  <si>
    <t>2019 оны 05-р сарын 17 -ний үлдэгдэл</t>
  </si>
  <si>
    <t>2019.05.17</t>
  </si>
  <si>
    <t>2018 оны 1-р сарын 01-ний үлдэгдэл</t>
  </si>
  <si>
    <t>2018 оны 12-р сарын 31-ний үлдэгдэл</t>
  </si>
  <si>
    <t>2019 оны 03-р сарын 31-ний үлдэгдэл</t>
  </si>
  <si>
    <t>ӨМЧИЙН ӨӨРЧЛӨЛТИЙН ТАЙЛАН-АСН ХК</t>
  </si>
  <si>
    <t>Өмчийн өөрчлөлтийн тайлан-ЖУ ХК</t>
  </si>
  <si>
    <t>НЭГТГЭСЭН ӨМЧИЙН ӨӨРЧЛӨЛТИЙН ТАЙЛАН-АСН &amp; ЖУ ХК</t>
  </si>
  <si>
    <t>2019 оны 06-р сарын 30</t>
  </si>
  <si>
    <t>2019 оны 06-р сарын 30 -ний үлдэгдэл</t>
  </si>
  <si>
    <t>/ төгрөгөөр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</si>
</sst>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  <numFmt numFmtId="167" formatCode="_(* #,##0.00000_);_(* \(#,##0.00000\);_(* &quot;-&quot;?????_);_(@_)"/>
    <numFmt numFmtId="168" formatCode="_(* #,##0.00000_);_(* \(#,##0.00000\);_(* &quot;-&quot;??_);_(@_)"/>
    <numFmt numFmtId="169" formatCode="_(* #,##0.000_);_(* \(#,##0.000\);_(* &quot;-&quot;??_);_(@_)"/>
    <numFmt numFmtId="170" formatCode="_(* #,##0.000000000_);_(* \(#,##0.000000000\);_(* &quot;-&quot;??_);_(@_)"/>
    <numFmt numFmtId="171" formatCode="_(* #,##0.0_);_(* \(#,##0.0\);_(* &quot;-&quot;??_);_(@_)"/>
    <numFmt numFmtId="172" formatCode="_(* #,##0.0_);_(* \(#,##0.0\);_(* &quot;-&quot;?_);_(@_)"/>
    <numFmt numFmtId="173" formatCode="yyyy\-mm\-dd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u/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0"/>
      <name val="Times New Roman"/>
      <family val="1"/>
    </font>
    <font>
      <u/>
      <sz val="9"/>
      <color theme="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3">
    <xf numFmtId="0" fontId="0" fillId="0" borderId="0" xfId="0"/>
    <xf numFmtId="164" fontId="3" fillId="2" borderId="1" xfId="1" applyNumberFormat="1" applyFont="1" applyFill="1" applyBorder="1" applyAlignment="1">
      <alignment horizontal="center" vertical="center" wrapText="1" readingOrder="1"/>
    </xf>
    <xf numFmtId="49" fontId="3" fillId="2" borderId="1" xfId="1" applyNumberFormat="1" applyFont="1" applyFill="1" applyBorder="1" applyAlignment="1">
      <alignment horizontal="center" vertical="center" wrapText="1" readingOrder="1"/>
    </xf>
    <xf numFmtId="0" fontId="3" fillId="2" borderId="1" xfId="1" applyNumberFormat="1" applyFont="1" applyFill="1" applyBorder="1" applyAlignment="1">
      <alignment horizontal="center" vertical="center" wrapText="1" readingOrder="1"/>
    </xf>
    <xf numFmtId="14" fontId="3" fillId="2" borderId="1" xfId="1" applyNumberFormat="1" applyFont="1" applyFill="1" applyBorder="1" applyAlignment="1">
      <alignment horizontal="center" vertical="center" wrapText="1" readingOrder="1"/>
    </xf>
    <xf numFmtId="164" fontId="3" fillId="2" borderId="0" xfId="1" applyNumberFormat="1" applyFont="1" applyFill="1" applyBorder="1" applyAlignment="1">
      <alignment horizontal="center" vertical="center" wrapText="1" readingOrder="1"/>
    </xf>
    <xf numFmtId="0" fontId="3" fillId="2" borderId="0" xfId="1" applyNumberFormat="1" applyFont="1" applyFill="1" applyBorder="1" applyAlignment="1">
      <alignment horizontal="center" wrapText="1" readingOrder="1"/>
    </xf>
    <xf numFmtId="49" fontId="3" fillId="2" borderId="0" xfId="1" applyNumberFormat="1" applyFont="1" applyFill="1" applyBorder="1" applyAlignment="1">
      <alignment horizontal="center" vertical="center" wrapText="1" readingOrder="1"/>
    </xf>
    <xf numFmtId="0" fontId="3" fillId="2" borderId="0" xfId="1" applyNumberFormat="1" applyFont="1" applyFill="1" applyBorder="1" applyAlignment="1">
      <alignment horizontal="center" vertical="center" wrapText="1" readingOrder="1"/>
    </xf>
    <xf numFmtId="14" fontId="3" fillId="2" borderId="0" xfId="1" applyNumberFormat="1" applyFont="1" applyFill="1" applyBorder="1" applyAlignment="1">
      <alignment horizontal="center" vertical="center" wrapText="1" readingOrder="1"/>
    </xf>
    <xf numFmtId="0" fontId="2" fillId="3" borderId="0" xfId="0" applyFont="1" applyFill="1" applyBorder="1" applyAlignment="1">
      <alignment horizontal="left" vertical="center" wrapText="1" readingOrder="1"/>
    </xf>
    <xf numFmtId="164" fontId="2" fillId="3" borderId="0" xfId="1" applyNumberFormat="1" applyFont="1" applyFill="1" applyBorder="1" applyAlignment="1">
      <alignment horizontal="center" vertical="center" wrapText="1" readingOrder="1"/>
    </xf>
    <xf numFmtId="164" fontId="2" fillId="3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 readingOrder="1"/>
    </xf>
    <xf numFmtId="164" fontId="3" fillId="2" borderId="0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 readingOrder="1"/>
    </xf>
    <xf numFmtId="164" fontId="3" fillId="3" borderId="3" xfId="1" applyNumberFormat="1" applyFont="1" applyFill="1" applyBorder="1" applyAlignment="1">
      <alignment horizontal="center" vertical="center" wrapText="1" readingOrder="1"/>
    </xf>
    <xf numFmtId="164" fontId="3" fillId="3" borderId="3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164" fontId="3" fillId="3" borderId="0" xfId="1" applyNumberFormat="1" applyFont="1" applyFill="1" applyBorder="1" applyAlignment="1">
      <alignment horizontal="center" vertical="top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 readingOrder="1"/>
    </xf>
    <xf numFmtId="0" fontId="2" fillId="3" borderId="0" xfId="0" applyFont="1" applyFill="1" applyBorder="1" applyAlignment="1">
      <alignment horizontal="right" vertical="center" wrapText="1" readingOrder="1"/>
    </xf>
    <xf numFmtId="0" fontId="3" fillId="2" borderId="0" xfId="0" applyFont="1" applyFill="1" applyBorder="1" applyAlignment="1">
      <alignment horizontal="left" vertical="center" wrapText="1" readingOrder="1"/>
    </xf>
    <xf numFmtId="164" fontId="2" fillId="3" borderId="0" xfId="1" applyNumberFormat="1" applyFont="1" applyFill="1" applyBorder="1"/>
    <xf numFmtId="0" fontId="5" fillId="3" borderId="0" xfId="0" applyFont="1" applyFill="1" applyBorder="1"/>
    <xf numFmtId="164" fontId="2" fillId="3" borderId="0" xfId="0" applyNumberFormat="1" applyFont="1" applyFill="1" applyBorder="1"/>
    <xf numFmtId="0" fontId="2" fillId="3" borderId="0" xfId="0" applyNumberFormat="1" applyFont="1" applyFill="1" applyBorder="1"/>
    <xf numFmtId="43" fontId="2" fillId="3" borderId="0" xfId="1" applyFont="1" applyFill="1" applyBorder="1"/>
    <xf numFmtId="0" fontId="3" fillId="3" borderId="0" xfId="0" applyFont="1" applyFill="1" applyBorder="1" applyAlignment="1">
      <alignment vertical="center" wrapText="1" readingOrder="1"/>
    </xf>
    <xf numFmtId="0" fontId="2" fillId="3" borderId="0" xfId="0" applyFont="1" applyFill="1" applyBorder="1" applyAlignment="1">
      <alignment horizontal="center" vertical="center"/>
    </xf>
    <xf numFmtId="49" fontId="2" fillId="3" borderId="0" xfId="1" applyNumberFormat="1" applyFont="1" applyFill="1" applyBorder="1" applyAlignment="1">
      <alignment horizontal="center" vertical="center" wrapText="1" readingOrder="1"/>
    </xf>
    <xf numFmtId="0" fontId="2" fillId="3" borderId="0" xfId="1" applyNumberFormat="1" applyFont="1" applyFill="1" applyBorder="1" applyAlignment="1">
      <alignment horizontal="center" vertical="center" wrapText="1" readingOrder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left" vertical="center" wrapText="1"/>
    </xf>
    <xf numFmtId="164" fontId="2" fillId="3" borderId="0" xfId="1" applyNumberFormat="1" applyFont="1" applyFill="1" applyBorder="1" applyAlignment="1">
      <alignment horizontal="left" vertical="center" wrapText="1"/>
    </xf>
    <xf numFmtId="49" fontId="2" fillId="3" borderId="0" xfId="1" applyNumberFormat="1" applyFont="1" applyFill="1" applyBorder="1" applyAlignment="1">
      <alignment horizontal="left" vertical="center" wrapText="1"/>
    </xf>
    <xf numFmtId="0" fontId="2" fillId="3" borderId="0" xfId="1" applyNumberFormat="1" applyFont="1" applyFill="1" applyBorder="1" applyAlignment="1">
      <alignment horizontal="left" vertical="center" wrapText="1"/>
    </xf>
    <xf numFmtId="14" fontId="2" fillId="3" borderId="0" xfId="1" applyNumberFormat="1" applyFont="1" applyFill="1" applyBorder="1" applyAlignment="1">
      <alignment horizontal="left" vertical="center" wrapText="1"/>
    </xf>
    <xf numFmtId="0" fontId="3" fillId="3" borderId="0" xfId="0" applyFont="1" applyFill="1"/>
    <xf numFmtId="164" fontId="3" fillId="3" borderId="0" xfId="1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Border="1"/>
    <xf numFmtId="164" fontId="2" fillId="3" borderId="0" xfId="1" applyNumberFormat="1" applyFont="1" applyFill="1" applyBorder="1" applyAlignment="1">
      <alignment vertical="center" wrapText="1" readingOrder="1"/>
    </xf>
    <xf numFmtId="0" fontId="2" fillId="3" borderId="0" xfId="0" applyFont="1" applyFill="1" applyBorder="1" applyAlignment="1"/>
    <xf numFmtId="0" fontId="2" fillId="3" borderId="0" xfId="0" applyFont="1" applyFill="1"/>
    <xf numFmtId="164" fontId="2" fillId="3" borderId="0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vertical="center" wrapText="1"/>
    </xf>
    <xf numFmtId="164" fontId="2" fillId="3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9" fontId="2" fillId="3" borderId="0" xfId="2" applyFont="1" applyFill="1" applyBorder="1"/>
    <xf numFmtId="164" fontId="2" fillId="3" borderId="0" xfId="1" applyNumberFormat="1" applyFont="1" applyFill="1" applyBorder="1" applyAlignment="1">
      <alignment vertical="top"/>
    </xf>
    <xf numFmtId="43" fontId="3" fillId="3" borderId="0" xfId="1" applyNumberFormat="1" applyFont="1" applyFill="1" applyBorder="1" applyAlignment="1">
      <alignment horizontal="center" vertical="center" wrapText="1" readingOrder="1"/>
    </xf>
    <xf numFmtId="164" fontId="3" fillId="3" borderId="0" xfId="1" applyNumberFormat="1" applyFont="1" applyFill="1" applyBorder="1"/>
    <xf numFmtId="164" fontId="3" fillId="3" borderId="0" xfId="1" applyNumberFormat="1" applyFont="1" applyFill="1" applyBorder="1" applyAlignment="1">
      <alignment vertical="center" wrapText="1" readingOrder="1"/>
    </xf>
    <xf numFmtId="43" fontId="2" fillId="3" borderId="0" xfId="1" applyFont="1" applyFill="1" applyBorder="1" applyAlignment="1">
      <alignment vertical="center" wrapText="1" readingOrder="1"/>
    </xf>
    <xf numFmtId="164" fontId="3" fillId="3" borderId="0" xfId="1" applyNumberFormat="1" applyFont="1" applyFill="1" applyBorder="1" applyAlignment="1"/>
    <xf numFmtId="14" fontId="3" fillId="2" borderId="1" xfId="1" applyNumberFormat="1" applyFont="1" applyFill="1" applyBorder="1" applyAlignment="1">
      <alignment horizontal="center" vertical="center" wrapText="1" readingOrder="1"/>
    </xf>
    <xf numFmtId="0" fontId="2" fillId="3" borderId="0" xfId="0" applyFont="1" applyFill="1" applyAlignment="1">
      <alignment horizontal="center"/>
    </xf>
    <xf numFmtId="164" fontId="2" fillId="3" borderId="0" xfId="1" applyNumberFormat="1" applyFont="1" applyFill="1"/>
    <xf numFmtId="9" fontId="2" fillId="3" borderId="0" xfId="2" applyFont="1" applyFill="1"/>
    <xf numFmtId="43" fontId="2" fillId="3" borderId="0" xfId="1" applyFont="1" applyFill="1"/>
    <xf numFmtId="0" fontId="4" fillId="3" borderId="0" xfId="0" applyFont="1" applyFill="1"/>
    <xf numFmtId="0" fontId="5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top"/>
    </xf>
    <xf numFmtId="164" fontId="2" fillId="3" borderId="0" xfId="0" applyNumberFormat="1" applyFont="1" applyFill="1"/>
    <xf numFmtId="43" fontId="2" fillId="3" borderId="0" xfId="1" applyNumberFormat="1" applyFont="1" applyFill="1" applyBorder="1"/>
    <xf numFmtId="0" fontId="2" fillId="3" borderId="0" xfId="0" applyFont="1" applyFill="1" applyAlignment="1"/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top" wrapText="1" readingOrder="1"/>
    </xf>
    <xf numFmtId="0" fontId="3" fillId="3" borderId="0" xfId="0" applyFont="1" applyFill="1" applyBorder="1" applyAlignment="1">
      <alignment horizontal="left" wrapText="1" readingOrder="1"/>
    </xf>
    <xf numFmtId="164" fontId="2" fillId="3" borderId="0" xfId="1" applyNumberFormat="1" applyFont="1" applyFill="1" applyBorder="1" applyAlignment="1"/>
    <xf numFmtId="164" fontId="2" fillId="3" borderId="0" xfId="1" applyNumberFormat="1" applyFont="1" applyFill="1" applyAlignment="1"/>
    <xf numFmtId="0" fontId="3" fillId="2" borderId="2" xfId="0" applyFont="1" applyFill="1" applyBorder="1" applyAlignment="1">
      <alignment horizontal="left" vertical="center" wrapText="1" readingOrder="1"/>
    </xf>
    <xf numFmtId="164" fontId="3" fillId="2" borderId="3" xfId="1" applyNumberFormat="1" applyFont="1" applyFill="1" applyBorder="1" applyAlignment="1">
      <alignment horizontal="center" vertical="center" wrapText="1" readingOrder="1"/>
    </xf>
    <xf numFmtId="164" fontId="3" fillId="2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164" fontId="6" fillId="4" borderId="4" xfId="1" applyNumberFormat="1" applyFont="1" applyFill="1" applyBorder="1" applyAlignment="1">
      <alignment vertical="center"/>
    </xf>
    <xf numFmtId="164" fontId="6" fillId="0" borderId="0" xfId="1" applyNumberFormat="1" applyFont="1" applyAlignment="1">
      <alignment vertical="center"/>
    </xf>
    <xf numFmtId="43" fontId="6" fillId="0" borderId="4" xfId="1" applyNumberFormat="1" applyFont="1" applyBorder="1" applyAlignment="1">
      <alignment vertical="center"/>
    </xf>
    <xf numFmtId="43" fontId="6" fillId="4" borderId="4" xfId="1" applyFont="1" applyFill="1" applyBorder="1" applyAlignment="1">
      <alignment vertical="center"/>
    </xf>
    <xf numFmtId="43" fontId="6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65" fontId="6" fillId="0" borderId="0" xfId="2" applyNumberFormat="1" applyFont="1" applyAlignment="1">
      <alignment horizontal="center" vertical="center"/>
    </xf>
    <xf numFmtId="164" fontId="6" fillId="0" borderId="4" xfId="1" applyNumberFormat="1" applyFont="1" applyBorder="1"/>
    <xf numFmtId="164" fontId="6" fillId="0" borderId="0" xfId="0" applyNumberFormat="1" applyFont="1" applyAlignment="1">
      <alignment vertical="center"/>
    </xf>
    <xf numFmtId="10" fontId="6" fillId="0" borderId="0" xfId="2" applyNumberFormat="1" applyFont="1" applyAlignment="1">
      <alignment vertical="center"/>
    </xf>
    <xf numFmtId="43" fontId="6" fillId="0" borderId="4" xfId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10" fontId="6" fillId="0" borderId="4" xfId="2" applyNumberFormat="1" applyFont="1" applyBorder="1" applyAlignment="1">
      <alignment vertical="center"/>
    </xf>
    <xf numFmtId="165" fontId="6" fillId="0" borderId="0" xfId="2" applyNumberFormat="1" applyFont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43" fontId="6" fillId="0" borderId="4" xfId="0" applyNumberFormat="1" applyFont="1" applyBorder="1" applyAlignment="1">
      <alignment vertical="center"/>
    </xf>
    <xf numFmtId="166" fontId="6" fillId="4" borderId="4" xfId="1" applyNumberFormat="1" applyFont="1" applyFill="1" applyBorder="1" applyAlignment="1">
      <alignment vertical="center"/>
    </xf>
    <xf numFmtId="166" fontId="6" fillId="4" borderId="0" xfId="1" applyNumberFormat="1" applyFont="1" applyFill="1" applyBorder="1" applyAlignment="1">
      <alignment vertical="center"/>
    </xf>
    <xf numFmtId="0" fontId="6" fillId="0" borderId="4" xfId="0" applyFont="1" applyBorder="1"/>
    <xf numFmtId="43" fontId="6" fillId="4" borderId="4" xfId="1" applyNumberFormat="1" applyFont="1" applyFill="1" applyBorder="1" applyAlignment="1">
      <alignment vertical="center"/>
    </xf>
    <xf numFmtId="43" fontId="6" fillId="4" borderId="0" xfId="1" applyNumberFormat="1" applyFont="1" applyFill="1" applyBorder="1" applyAlignment="1">
      <alignment vertical="center"/>
    </xf>
    <xf numFmtId="166" fontId="6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68" fontId="6" fillId="0" borderId="0" xfId="1" applyNumberFormat="1" applyFont="1" applyAlignment="1">
      <alignment vertical="center"/>
    </xf>
    <xf numFmtId="0" fontId="6" fillId="0" borderId="0" xfId="0" applyFont="1"/>
    <xf numFmtId="164" fontId="6" fillId="0" borderId="5" xfId="1" applyNumberFormat="1" applyFont="1" applyBorder="1"/>
    <xf numFmtId="164" fontId="6" fillId="0" borderId="4" xfId="0" applyNumberFormat="1" applyFont="1" applyBorder="1" applyAlignment="1">
      <alignment vertical="center"/>
    </xf>
    <xf numFmtId="169" fontId="6" fillId="0" borderId="4" xfId="1" applyNumberFormat="1" applyFont="1" applyBorder="1" applyAlignment="1">
      <alignment vertical="center"/>
    </xf>
    <xf numFmtId="43" fontId="6" fillId="0" borderId="5" xfId="1" applyNumberFormat="1" applyFont="1" applyBorder="1"/>
    <xf numFmtId="170" fontId="6" fillId="0" borderId="0" xfId="1" applyNumberFormat="1" applyFont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9" fontId="6" fillId="0" borderId="0" xfId="2" applyFont="1" applyAlignment="1">
      <alignment vertical="center"/>
    </xf>
    <xf numFmtId="0" fontId="6" fillId="0" borderId="4" xfId="0" applyFont="1" applyBorder="1" applyAlignment="1">
      <alignment horizontal="left" vertical="center" indent="2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indent="4"/>
    </xf>
    <xf numFmtId="43" fontId="6" fillId="0" borderId="0" xfId="1" applyFont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6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164" fontId="6" fillId="0" borderId="7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164" fontId="6" fillId="0" borderId="6" xfId="0" applyNumberFormat="1" applyFont="1" applyBorder="1" applyAlignment="1">
      <alignment vertical="center"/>
    </xf>
    <xf numFmtId="10" fontId="6" fillId="0" borderId="6" xfId="2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164" fontId="6" fillId="0" borderId="7" xfId="0" applyNumberFormat="1" applyFont="1" applyBorder="1" applyAlignment="1">
      <alignment vertical="center"/>
    </xf>
    <xf numFmtId="10" fontId="6" fillId="0" borderId="7" xfId="2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10" fontId="6" fillId="0" borderId="3" xfId="0" applyNumberFormat="1" applyFont="1" applyBorder="1" applyAlignment="1">
      <alignment vertical="center"/>
    </xf>
    <xf numFmtId="43" fontId="6" fillId="0" borderId="0" xfId="1" applyFont="1" applyAlignment="1">
      <alignment horizontal="center" vertical="center"/>
    </xf>
    <xf numFmtId="43" fontId="6" fillId="0" borderId="4" xfId="1" applyFont="1" applyBorder="1" applyAlignment="1">
      <alignment horizontal="center" vertical="center"/>
    </xf>
    <xf numFmtId="43" fontId="6" fillId="0" borderId="0" xfId="1" applyFont="1" applyFill="1" applyBorder="1" applyAlignment="1">
      <alignment vertical="center"/>
    </xf>
    <xf numFmtId="43" fontId="6" fillId="0" borderId="5" xfId="1" applyFont="1" applyFill="1" applyBorder="1" applyAlignment="1">
      <alignment horizontal="left" vertical="center"/>
    </xf>
    <xf numFmtId="43" fontId="6" fillId="0" borderId="5" xfId="1" applyFont="1" applyFill="1" applyBorder="1" applyAlignment="1">
      <alignment horizontal="left" vertical="center" indent="2"/>
    </xf>
    <xf numFmtId="43" fontId="6" fillId="0" borderId="5" xfId="1" applyFont="1" applyFill="1" applyBorder="1" applyAlignment="1">
      <alignment horizontal="left" vertical="center" indent="4"/>
    </xf>
    <xf numFmtId="164" fontId="2" fillId="3" borderId="0" xfId="1" applyNumberFormat="1" applyFont="1" applyFill="1" applyAlignment="1">
      <alignment horizontal="center" vertical="center"/>
    </xf>
    <xf numFmtId="164" fontId="2" fillId="3" borderId="0" xfId="1" applyNumberFormat="1" applyFont="1" applyFill="1" applyAlignment="1">
      <alignment vertical="top"/>
    </xf>
    <xf numFmtId="164" fontId="3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 indent="1" readingOrder="1"/>
    </xf>
    <xf numFmtId="43" fontId="2" fillId="3" borderId="0" xfId="0" applyNumberFormat="1" applyFont="1" applyFill="1"/>
    <xf numFmtId="0" fontId="3" fillId="6" borderId="2" xfId="0" applyFont="1" applyFill="1" applyBorder="1" applyAlignment="1">
      <alignment horizontal="left" vertical="center" wrapText="1" readingOrder="1"/>
    </xf>
    <xf numFmtId="164" fontId="3" fillId="6" borderId="3" xfId="1" applyNumberFormat="1" applyFont="1" applyFill="1" applyBorder="1" applyAlignment="1">
      <alignment horizontal="center" vertical="center" wrapText="1"/>
    </xf>
    <xf numFmtId="169" fontId="2" fillId="3" borderId="0" xfId="1" applyNumberFormat="1" applyFont="1" applyFill="1"/>
    <xf numFmtId="0" fontId="3" fillId="3" borderId="0" xfId="0" applyFont="1" applyFill="1" applyBorder="1" applyAlignment="1">
      <alignment horizontal="left" vertical="center" wrapText="1" indent="1" readingOrder="1"/>
    </xf>
    <xf numFmtId="0" fontId="3" fillId="2" borderId="0" xfId="0" applyFont="1" applyFill="1" applyBorder="1" applyAlignment="1">
      <alignment horizontal="left" vertical="center" readingOrder="1"/>
    </xf>
    <xf numFmtId="43" fontId="2" fillId="0" borderId="4" xfId="1" applyFont="1" applyFill="1" applyBorder="1" applyAlignment="1" applyProtection="1">
      <alignment horizontal="right" vertical="center" wrapText="1"/>
    </xf>
    <xf numFmtId="43" fontId="2" fillId="3" borderId="0" xfId="1" applyFont="1" applyFill="1" applyAlignment="1">
      <alignment horizontal="center" vertical="center"/>
    </xf>
    <xf numFmtId="171" fontId="2" fillId="3" borderId="0" xfId="1" applyNumberFormat="1" applyFont="1" applyFill="1"/>
    <xf numFmtId="171" fontId="2" fillId="3" borderId="0" xfId="1" applyNumberFormat="1" applyFont="1" applyFill="1" applyAlignment="1">
      <alignment horizontal="center" vertical="center"/>
    </xf>
    <xf numFmtId="171" fontId="2" fillId="3" borderId="0" xfId="1" applyNumberFormat="1" applyFont="1" applyFill="1" applyAlignment="1">
      <alignment vertical="top"/>
    </xf>
    <xf numFmtId="171" fontId="2" fillId="3" borderId="0" xfId="1" applyNumberFormat="1" applyFont="1" applyFill="1" applyBorder="1"/>
    <xf numFmtId="171" fontId="2" fillId="3" borderId="0" xfId="1" applyNumberFormat="1" applyFont="1" applyFill="1" applyBorder="1" applyAlignment="1">
      <alignment horizontal="center" vertical="center"/>
    </xf>
    <xf numFmtId="171" fontId="3" fillId="3" borderId="0" xfId="1" applyNumberFormat="1" applyFont="1" applyFill="1" applyBorder="1"/>
    <xf numFmtId="171" fontId="2" fillId="3" borderId="0" xfId="1" applyNumberFormat="1" applyFont="1" applyFill="1" applyBorder="1" applyAlignment="1"/>
    <xf numFmtId="171" fontId="2" fillId="3" borderId="0" xfId="1" applyNumberFormat="1" applyFont="1" applyFill="1" applyBorder="1" applyAlignment="1">
      <alignment vertical="center"/>
    </xf>
    <xf numFmtId="172" fontId="2" fillId="3" borderId="0" xfId="0" applyNumberFormat="1" applyFont="1" applyFill="1"/>
    <xf numFmtId="0" fontId="8" fillId="0" borderId="4" xfId="0" applyFont="1" applyFill="1" applyBorder="1" applyAlignment="1" applyProtection="1">
      <alignment wrapText="1"/>
      <protection locked="0"/>
    </xf>
    <xf numFmtId="43" fontId="8" fillId="0" borderId="4" xfId="1" applyFont="1" applyFill="1" applyBorder="1" applyAlignment="1" applyProtection="1">
      <alignment wrapText="1"/>
      <protection locked="0"/>
    </xf>
    <xf numFmtId="0" fontId="9" fillId="0" borderId="0" xfId="0" applyFont="1" applyFill="1"/>
    <xf numFmtId="43" fontId="9" fillId="0" borderId="0" xfId="1" applyFont="1" applyFill="1"/>
    <xf numFmtId="173" fontId="9" fillId="0" borderId="0" xfId="0" applyNumberFormat="1" applyFont="1" applyFill="1"/>
    <xf numFmtId="0" fontId="10" fillId="0" borderId="0" xfId="0" applyFont="1" applyFill="1"/>
    <xf numFmtId="173" fontId="10" fillId="0" borderId="0" xfId="0" applyNumberFormat="1" applyFont="1" applyFill="1"/>
    <xf numFmtId="43" fontId="10" fillId="0" borderId="0" xfId="1" applyFont="1" applyFill="1"/>
    <xf numFmtId="43" fontId="11" fillId="0" borderId="4" xfId="1" applyFont="1" applyFill="1" applyBorder="1" applyAlignment="1" applyProtection="1">
      <alignment wrapText="1"/>
      <protection locked="0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43" fontId="3" fillId="0" borderId="4" xfId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43" fontId="2" fillId="0" borderId="4" xfId="1" applyFont="1" applyFill="1" applyBorder="1" applyAlignment="1" applyProtection="1">
      <alignment horizontal="right" vertical="center" wrapText="1"/>
      <protection locked="0"/>
    </xf>
    <xf numFmtId="43" fontId="2" fillId="0" borderId="4" xfId="1" applyFont="1" applyBorder="1"/>
    <xf numFmtId="0" fontId="2" fillId="0" borderId="4" xfId="0" applyFont="1" applyFill="1" applyBorder="1" applyAlignment="1" applyProtection="1">
      <alignment vertical="center" wrapText="1"/>
      <protection locked="0"/>
    </xf>
    <xf numFmtId="43" fontId="3" fillId="0" borderId="4" xfId="1" applyFont="1" applyFill="1" applyBorder="1" applyAlignment="1" applyProtection="1">
      <alignment horizontal="right" vertical="center" wrapText="1"/>
    </xf>
    <xf numFmtId="43" fontId="2" fillId="3" borderId="4" xfId="1" applyFont="1" applyFill="1" applyBorder="1"/>
    <xf numFmtId="43" fontId="2" fillId="0" borderId="0" xfId="1" applyFont="1" applyFill="1"/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vertical="center" wrapText="1"/>
    </xf>
    <xf numFmtId="43" fontId="12" fillId="0" borderId="4" xfId="1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vertical="center" wrapText="1"/>
    </xf>
    <xf numFmtId="43" fontId="2" fillId="7" borderId="4" xfId="1" applyFont="1" applyFill="1" applyBorder="1"/>
    <xf numFmtId="43" fontId="2" fillId="0" borderId="4" xfId="1" applyFont="1" applyFill="1" applyBorder="1" applyAlignment="1" applyProtection="1">
      <alignment horizontal="right" vertical="center"/>
    </xf>
    <xf numFmtId="43" fontId="2" fillId="0" borderId="4" xfId="1" applyFont="1" applyFill="1" applyBorder="1" applyAlignment="1">
      <alignment horizontal="right" vertical="center" wrapText="1"/>
    </xf>
    <xf numFmtId="0" fontId="3" fillId="0" borderId="4" xfId="0" applyFont="1" applyFill="1" applyBorder="1" applyAlignment="1" applyProtection="1">
      <alignment horizontal="left" vertical="top"/>
    </xf>
    <xf numFmtId="43" fontId="3" fillId="0" borderId="4" xfId="1" applyFont="1" applyFill="1" applyBorder="1" applyAlignment="1">
      <alignment horizontal="right" vertical="center" wrapText="1"/>
    </xf>
    <xf numFmtId="43" fontId="2" fillId="0" borderId="0" xfId="0" applyNumberFormat="1" applyFont="1" applyFill="1"/>
    <xf numFmtId="0" fontId="2" fillId="0" borderId="0" xfId="0" applyFont="1" applyFill="1" applyAlignment="1">
      <alignment horizontal="left"/>
    </xf>
    <xf numFmtId="49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43" fontId="13" fillId="0" borderId="4" xfId="1" applyFont="1" applyFill="1" applyBorder="1"/>
    <xf numFmtId="49" fontId="13" fillId="0" borderId="0" xfId="0" applyNumberFormat="1" applyFont="1" applyFill="1" applyProtection="1"/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vertical="center" wrapText="1"/>
    </xf>
    <xf numFmtId="43" fontId="15" fillId="0" borderId="4" xfId="1" applyFont="1" applyFill="1" applyBorder="1" applyAlignment="1" applyProtection="1">
      <alignment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43" fontId="13" fillId="3" borderId="4" xfId="1" applyFont="1" applyFill="1" applyBorder="1"/>
    <xf numFmtId="0" fontId="15" fillId="0" borderId="4" xfId="0" applyFont="1" applyFill="1" applyBorder="1" applyAlignment="1" applyProtection="1">
      <alignment vertical="top" wrapText="1"/>
    </xf>
    <xf numFmtId="43" fontId="15" fillId="3" borderId="4" xfId="1" applyFont="1" applyFill="1" applyBorder="1" applyAlignment="1" applyProtection="1">
      <alignment vertical="center" wrapText="1"/>
    </xf>
    <xf numFmtId="49" fontId="16" fillId="0" borderId="4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vertical="top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3" fontId="13" fillId="0" borderId="0" xfId="0" applyNumberFormat="1" applyFont="1" applyFill="1"/>
    <xf numFmtId="0" fontId="16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43" fontId="17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horizontal="left"/>
    </xf>
    <xf numFmtId="0" fontId="13" fillId="3" borderId="0" xfId="0" applyFont="1" applyFill="1"/>
    <xf numFmtId="14" fontId="14" fillId="3" borderId="0" xfId="0" applyNumberFormat="1" applyFont="1" applyFill="1" applyAlignment="1" applyProtection="1">
      <alignment horizontal="right"/>
    </xf>
    <xf numFmtId="0" fontId="13" fillId="0" borderId="0" xfId="0" applyFont="1"/>
    <xf numFmtId="0" fontId="14" fillId="3" borderId="0" xfId="0" applyFont="1" applyFill="1" applyAlignment="1">
      <alignment horizontal="left"/>
    </xf>
    <xf numFmtId="0" fontId="14" fillId="3" borderId="0" xfId="0" applyFont="1" applyFill="1"/>
    <xf numFmtId="0" fontId="13" fillId="3" borderId="0" xfId="0" applyFont="1" applyFill="1" applyAlignment="1">
      <alignment horizontal="right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vertical="center" wrapText="1"/>
    </xf>
    <xf numFmtId="164" fontId="15" fillId="3" borderId="4" xfId="1" applyNumberFormat="1" applyFont="1" applyFill="1" applyBorder="1" applyAlignment="1" applyProtection="1">
      <alignment horizontal="right" vertical="center" wrapText="1"/>
    </xf>
    <xf numFmtId="164" fontId="16" fillId="3" borderId="4" xfId="1" applyNumberFormat="1" applyFont="1" applyFill="1" applyBorder="1" applyAlignment="1" applyProtection="1">
      <alignment horizontal="right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vertical="center" wrapText="1"/>
    </xf>
    <xf numFmtId="164" fontId="16" fillId="3" borderId="4" xfId="1" applyNumberFormat="1" applyFont="1" applyFill="1" applyBorder="1" applyAlignment="1" applyProtection="1">
      <alignment horizontal="right" vertical="center" wrapText="1"/>
      <protection locked="0"/>
    </xf>
    <xf numFmtId="164" fontId="19" fillId="0" borderId="0" xfId="1" applyNumberFormat="1" applyFont="1" applyAlignment="1">
      <alignment horizontal="right" vertical="center"/>
    </xf>
    <xf numFmtId="0" fontId="13" fillId="3" borderId="0" xfId="0" applyFont="1" applyFill="1" applyAlignment="1">
      <alignment vertical="top"/>
    </xf>
    <xf numFmtId="0" fontId="13" fillId="3" borderId="4" xfId="0" applyFont="1" applyFill="1" applyBorder="1" applyAlignment="1">
      <alignment vertical="top"/>
    </xf>
    <xf numFmtId="0" fontId="13" fillId="3" borderId="0" xfId="0" applyFont="1" applyFill="1" applyAlignment="1">
      <alignment horizontal="center" vertical="top"/>
    </xf>
    <xf numFmtId="43" fontId="13" fillId="3" borderId="0" xfId="0" applyNumberFormat="1" applyFont="1" applyFill="1" applyAlignment="1">
      <alignment vertical="top"/>
    </xf>
    <xf numFmtId="164" fontId="13" fillId="3" borderId="0" xfId="0" applyNumberFormat="1" applyFont="1" applyFill="1" applyAlignment="1">
      <alignment vertical="top"/>
    </xf>
    <xf numFmtId="0" fontId="14" fillId="3" borderId="0" xfId="0" applyFont="1" applyFill="1" applyAlignment="1" applyProtection="1">
      <alignment vertical="top"/>
    </xf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 wrapText="1"/>
    </xf>
    <xf numFmtId="0" fontId="3" fillId="0" borderId="4" xfId="0" applyFont="1" applyBorder="1"/>
    <xf numFmtId="164" fontId="3" fillId="0" borderId="4" xfId="1" applyNumberFormat="1" applyFont="1" applyBorder="1"/>
    <xf numFmtId="43" fontId="2" fillId="0" borderId="0" xfId="0" applyNumberFormat="1" applyFont="1" applyBorder="1"/>
    <xf numFmtId="0" fontId="2" fillId="0" borderId="4" xfId="0" applyFont="1" applyBorder="1" applyAlignment="1">
      <alignment horizontal="justify" vertical="center"/>
    </xf>
    <xf numFmtId="164" fontId="2" fillId="0" borderId="4" xfId="1" applyNumberFormat="1" applyFont="1" applyBorder="1"/>
    <xf numFmtId="0" fontId="2" fillId="0" borderId="0" xfId="0" applyFont="1" applyBorder="1"/>
    <xf numFmtId="0" fontId="2" fillId="0" borderId="4" xfId="0" applyFont="1" applyBorder="1"/>
    <xf numFmtId="164" fontId="2" fillId="7" borderId="4" xfId="1" applyNumberFormat="1" applyFont="1" applyFill="1" applyBorder="1"/>
    <xf numFmtId="164" fontId="2" fillId="0" borderId="9" xfId="1" applyNumberFormat="1" applyFont="1" applyBorder="1"/>
    <xf numFmtId="43" fontId="2" fillId="0" borderId="4" xfId="1" applyNumberFormat="1" applyFont="1" applyBorder="1"/>
    <xf numFmtId="43" fontId="3" fillId="0" borderId="4" xfId="1" applyNumberFormat="1" applyFont="1" applyBorder="1"/>
    <xf numFmtId="164" fontId="13" fillId="0" borderId="0" xfId="1" applyNumberFormat="1" applyFont="1"/>
    <xf numFmtId="43" fontId="13" fillId="3" borderId="0" xfId="0" applyNumberFormat="1" applyFont="1" applyFill="1"/>
    <xf numFmtId="43" fontId="15" fillId="3" borderId="4" xfId="1" applyFont="1" applyFill="1" applyBorder="1" applyAlignment="1" applyProtection="1">
      <alignment horizontal="right" vertical="center" wrapText="1"/>
    </xf>
    <xf numFmtId="43" fontId="16" fillId="3" borderId="4" xfId="1" applyFont="1" applyFill="1" applyBorder="1" applyAlignment="1" applyProtection="1">
      <alignment horizontal="right" vertical="center" wrapText="1"/>
    </xf>
    <xf numFmtId="43" fontId="16" fillId="3" borderId="4" xfId="1" applyFont="1" applyFill="1" applyBorder="1" applyAlignment="1" applyProtection="1">
      <alignment horizontal="right" vertical="center" wrapText="1"/>
      <protection locked="0"/>
    </xf>
    <xf numFmtId="43" fontId="19" fillId="0" borderId="0" xfId="1" applyFont="1" applyAlignment="1">
      <alignment horizontal="right" vertical="center"/>
    </xf>
    <xf numFmtId="43" fontId="13" fillId="3" borderId="0" xfId="1" applyFont="1" applyFill="1" applyAlignment="1">
      <alignment vertical="top"/>
    </xf>
    <xf numFmtId="43" fontId="13" fillId="3" borderId="4" xfId="1" applyFont="1" applyFill="1" applyBorder="1" applyAlignment="1">
      <alignment vertical="top"/>
    </xf>
    <xf numFmtId="0" fontId="16" fillId="5" borderId="4" xfId="0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vertical="center" wrapText="1"/>
    </xf>
    <xf numFmtId="43" fontId="15" fillId="5" borderId="4" xfId="1" applyFont="1" applyFill="1" applyBorder="1" applyAlignment="1" applyProtection="1">
      <alignment horizontal="right" vertical="center" wrapText="1"/>
    </xf>
    <xf numFmtId="43" fontId="13" fillId="0" borderId="0" xfId="0" applyNumberFormat="1" applyFont="1"/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20" fillId="3" borderId="0" xfId="0" applyFont="1" applyFill="1" applyAlignment="1">
      <alignment horizontal="left" vertical="center"/>
    </xf>
    <xf numFmtId="0" fontId="19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 wrapText="1"/>
    </xf>
    <xf numFmtId="0" fontId="13" fillId="0" borderId="4" xfId="0" applyFont="1" applyBorder="1"/>
    <xf numFmtId="0" fontId="16" fillId="3" borderId="4" xfId="0" applyFont="1" applyFill="1" applyBorder="1" applyAlignment="1">
      <alignment horizontal="left" vertical="center" wrapText="1" indent="1"/>
    </xf>
    <xf numFmtId="43" fontId="16" fillId="3" borderId="4" xfId="1" applyFont="1" applyFill="1" applyBorder="1" applyAlignment="1" applyProtection="1">
      <alignment vertical="center" wrapText="1"/>
    </xf>
    <xf numFmtId="43" fontId="13" fillId="0" borderId="4" xfId="1" applyFont="1" applyBorder="1"/>
    <xf numFmtId="0" fontId="15" fillId="3" borderId="4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horizontal="left" vertical="center" wrapText="1" indent="2"/>
    </xf>
    <xf numFmtId="43" fontId="13" fillId="0" borderId="4" xfId="1" applyFont="1" applyBorder="1" applyAlignment="1">
      <alignment wrapText="1"/>
    </xf>
    <xf numFmtId="43" fontId="15" fillId="3" borderId="4" xfId="1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 indent="3"/>
    </xf>
    <xf numFmtId="0" fontId="16" fillId="3" borderId="4" xfId="0" applyFont="1" applyFill="1" applyBorder="1" applyAlignment="1" applyProtection="1">
      <alignment horizontal="left" vertical="center" wrapText="1" indent="3"/>
      <protection locked="0"/>
    </xf>
    <xf numFmtId="14" fontId="16" fillId="3" borderId="4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 applyProtection="1">
      <alignment horizontal="left" vertical="center" wrapText="1" indent="2"/>
      <protection locked="0"/>
    </xf>
    <xf numFmtId="0" fontId="15" fillId="3" borderId="4" xfId="0" applyFont="1" applyFill="1" applyBorder="1" applyAlignment="1" applyProtection="1">
      <alignment horizontal="left" vertical="center" wrapText="1"/>
    </xf>
    <xf numFmtId="43" fontId="15" fillId="3" borderId="4" xfId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3" borderId="4" xfId="0" applyFont="1" applyFill="1" applyBorder="1" applyAlignment="1" applyProtection="1">
      <alignment horizontal="left" vertical="top"/>
    </xf>
    <xf numFmtId="43" fontId="15" fillId="3" borderId="4" xfId="1" applyFont="1" applyFill="1" applyBorder="1" applyAlignment="1" applyProtection="1">
      <alignment vertical="top" wrapText="1"/>
      <protection locked="0"/>
    </xf>
    <xf numFmtId="0" fontId="15" fillId="3" borderId="4" xfId="0" applyFont="1" applyFill="1" applyBorder="1" applyAlignment="1" applyProtection="1">
      <alignment vertical="top" wrapText="1"/>
    </xf>
    <xf numFmtId="43" fontId="15" fillId="3" borderId="4" xfId="1" applyFont="1" applyFill="1" applyBorder="1" applyAlignment="1" applyProtection="1">
      <alignment vertical="top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vertical="top" wrapText="1"/>
    </xf>
    <xf numFmtId="43" fontId="2" fillId="0" borderId="0" xfId="1" applyFont="1" applyFill="1" applyAlignment="1">
      <alignment vertical="center"/>
    </xf>
    <xf numFmtId="43" fontId="2" fillId="0" borderId="0" xfId="1" applyFont="1" applyFill="1" applyAlignment="1">
      <alignment horizontal="right" vertical="center"/>
    </xf>
    <xf numFmtId="43" fontId="3" fillId="0" borderId="4" xfId="1" applyFont="1" applyFill="1" applyBorder="1" applyAlignment="1">
      <alignment horizontal="center" vertical="top" wrapText="1"/>
    </xf>
    <xf numFmtId="43" fontId="2" fillId="0" borderId="4" xfId="1" applyFont="1" applyFill="1" applyBorder="1"/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0" fontId="2" fillId="0" borderId="0" xfId="1" applyNumberFormat="1" applyFont="1" applyFill="1"/>
    <xf numFmtId="0" fontId="4" fillId="2" borderId="0" xfId="0" applyFont="1" applyFill="1" applyBorder="1" applyAlignment="1">
      <alignment horizontal="center" vertical="center" wrapText="1" readingOrder="1"/>
    </xf>
    <xf numFmtId="14" fontId="3" fillId="2" borderId="1" xfId="1" applyNumberFormat="1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43" fontId="2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/>
    </xf>
    <xf numFmtId="43" fontId="3" fillId="0" borderId="4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/>
    <xf numFmtId="0" fontId="14" fillId="3" borderId="0" xfId="0" applyFont="1" applyFill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43" fontId="3" fillId="3" borderId="4" xfId="1" applyFont="1" applyFill="1" applyBorder="1" applyAlignment="1">
      <alignment horizontal="center" vertical="center" wrapText="1"/>
    </xf>
    <xf numFmtId="43" fontId="3" fillId="3" borderId="4" xfId="1" applyFont="1" applyFill="1" applyBorder="1" applyAlignment="1">
      <alignment horizontal="center" vertical="top" wrapText="1"/>
    </xf>
    <xf numFmtId="43" fontId="2" fillId="3" borderId="4" xfId="1" applyFont="1" applyFill="1" applyBorder="1" applyAlignment="1">
      <alignment horizontal="left" vertical="center" wrapText="1"/>
    </xf>
    <xf numFmtId="43" fontId="2" fillId="3" borderId="4" xfId="1" applyFont="1" applyFill="1" applyBorder="1" applyAlignment="1" applyProtection="1">
      <alignment horizontal="right" vertical="center" wrapText="1"/>
      <protection locked="0"/>
    </xf>
    <xf numFmtId="43" fontId="3" fillId="3" borderId="4" xfId="1" applyFont="1" applyFill="1" applyBorder="1" applyAlignment="1" applyProtection="1">
      <alignment horizontal="right" vertical="center" wrapText="1"/>
    </xf>
    <xf numFmtId="43" fontId="12" fillId="3" borderId="4" xfId="1" applyFont="1" applyFill="1" applyBorder="1" applyAlignment="1" applyProtection="1">
      <alignment horizontal="right" vertical="center" wrapText="1"/>
    </xf>
    <xf numFmtId="43" fontId="2" fillId="3" borderId="4" xfId="1" applyFont="1" applyFill="1" applyBorder="1" applyAlignment="1">
      <alignment vertical="center" wrapText="1"/>
    </xf>
    <xf numFmtId="43" fontId="2" fillId="3" borderId="4" xfId="1" applyFont="1" applyFill="1" applyBorder="1" applyAlignment="1">
      <alignment horizontal="right" vertical="center" wrapText="1"/>
    </xf>
    <xf numFmtId="43" fontId="3" fillId="3" borderId="4" xfId="1" applyFont="1" applyFill="1" applyBorder="1" applyAlignment="1">
      <alignment horizontal="right" vertical="center" wrapText="1"/>
    </xf>
    <xf numFmtId="43" fontId="16" fillId="3" borderId="4" xfId="1" applyFont="1" applyFill="1" applyBorder="1" applyAlignment="1" applyProtection="1">
      <alignment vertical="center" wrapText="1"/>
      <protection locked="0"/>
    </xf>
    <xf numFmtId="43" fontId="15" fillId="3" borderId="0" xfId="1" applyFont="1" applyFill="1" applyBorder="1" applyAlignment="1" applyProtection="1">
      <alignment vertical="top" wrapText="1"/>
    </xf>
    <xf numFmtId="43" fontId="3" fillId="3" borderId="0" xfId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 wrapText="1"/>
    </xf>
    <xf numFmtId="43" fontId="3" fillId="3" borderId="4" xfId="1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D%20HOLDINGS\AFG\2018\balance\AFG-FS%202017113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lenge.g/Downloads/merger%20valuation%20-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D%20HOLDINGS\AFG\2019\balance\AFG-FS%202019-06-3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D%20HOLDINGS\AFG\2019\balance\AFG-FS%202019063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D%20HOLDINGS\AFG\2019\balance\AFG-CF-2019-05-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D%20HOLDINGS\AFG\2019\balance\JinstUvs-2019-06-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AFG-FS%20201805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AFG-FS%20201806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AFG-FS%202018073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AFG-FS%202018083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AFG-FS%202018093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D%20HOLDINGS\AFG\2018\balance\AFG-FS%202018113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D%20HOLDINGS\AFG\2018\balance\AFG-FS%202018093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D%20HOLDINGS\AFG\2018\balance\AFG-FS%202018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&amp; IS10312016"/>
      <sheetName val="Loan port"/>
      <sheetName val="Сарын дэлгэрэнгүй"/>
      <sheetName val="Avlaga uglug"/>
      <sheetName val="valuation"/>
      <sheetName val="FA, Investments"/>
      <sheetName val="balance"/>
      <sheetName val="Fair Value Reserve"/>
      <sheetName val="Ratios"/>
      <sheetName val="Huraangui"/>
      <sheetName val="ТТ-02"/>
      <sheetName val="Зөрүү"/>
      <sheetName val="ТТ-11"/>
      <sheetName val="ТТ-11-1"/>
      <sheetName val="СТ-1"/>
      <sheetName val="Халиунаа"/>
      <sheetName val="СТ-2"/>
      <sheetName val="СТ-3"/>
      <sheetName val="СТ-4"/>
      <sheetName val="Sheet1"/>
      <sheetName val="CF"/>
      <sheetName val="cover"/>
      <sheetName val="Sheet2"/>
      <sheetName val="Суутган"/>
      <sheetName val=" Interest payable"/>
      <sheetName val=" Intrest income"/>
      <sheetName val="Budget2016"/>
      <sheetName val="Cash flow-2016.10-12m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>
            <v>35922318.169999994</v>
          </cell>
        </row>
        <row r="4">
          <cell r="M4">
            <v>5285701026.8999996</v>
          </cell>
        </row>
        <row r="5">
          <cell r="M5">
            <v>4302406171.1199999</v>
          </cell>
        </row>
        <row r="6">
          <cell r="M6">
            <v>22463342.600000001</v>
          </cell>
        </row>
        <row r="7">
          <cell r="M7">
            <v>630226164.00999999</v>
          </cell>
        </row>
        <row r="8">
          <cell r="M8">
            <v>1193660000</v>
          </cell>
        </row>
        <row r="9">
          <cell r="M9">
            <v>877425834.56999993</v>
          </cell>
        </row>
        <row r="10">
          <cell r="M10">
            <v>14354000</v>
          </cell>
        </row>
        <row r="11">
          <cell r="M11">
            <v>23233408.850000001</v>
          </cell>
        </row>
        <row r="12">
          <cell r="M12">
            <v>36209896095.290001</v>
          </cell>
        </row>
        <row r="14">
          <cell r="M14">
            <v>250055697.97999999</v>
          </cell>
        </row>
        <row r="15">
          <cell r="M15">
            <v>4020324.01</v>
          </cell>
        </row>
        <row r="16">
          <cell r="M16">
            <v>69188789.680000007</v>
          </cell>
        </row>
        <row r="17">
          <cell r="M17">
            <v>2788473578.1800003</v>
          </cell>
        </row>
        <row r="18">
          <cell r="M18">
            <v>69412037</v>
          </cell>
        </row>
        <row r="19">
          <cell r="M19">
            <v>37935587.469999999</v>
          </cell>
        </row>
        <row r="20">
          <cell r="M20">
            <v>35353879.259999998</v>
          </cell>
        </row>
        <row r="21">
          <cell r="M21">
            <v>1173817546.6700001</v>
          </cell>
        </row>
        <row r="25">
          <cell r="M25">
            <v>10099592358.77</v>
          </cell>
        </row>
        <row r="34">
          <cell r="M34">
            <v>81300000</v>
          </cell>
        </row>
        <row r="35">
          <cell r="M35">
            <v>287324796.19999999</v>
          </cell>
        </row>
        <row r="36">
          <cell r="M36">
            <v>523520180.75</v>
          </cell>
        </row>
        <row r="37">
          <cell r="M37">
            <v>0</v>
          </cell>
        </row>
        <row r="39">
          <cell r="M39">
            <v>356850614.64999998</v>
          </cell>
        </row>
        <row r="40">
          <cell r="M40">
            <v>385402000</v>
          </cell>
        </row>
        <row r="41">
          <cell r="M41">
            <v>100143931.42</v>
          </cell>
        </row>
        <row r="42">
          <cell r="M42">
            <v>0</v>
          </cell>
        </row>
        <row r="43">
          <cell r="M43">
            <v>2443480</v>
          </cell>
        </row>
        <row r="47">
          <cell r="M47">
            <v>316191394.24000001</v>
          </cell>
        </row>
        <row r="48">
          <cell r="M48">
            <v>327650089.35000002</v>
          </cell>
        </row>
        <row r="49">
          <cell r="M49">
            <v>9104243.1999999993</v>
          </cell>
        </row>
        <row r="50">
          <cell r="M50">
            <v>167364457.75999999</v>
          </cell>
        </row>
        <row r="52">
          <cell r="M52">
            <v>-1414698.11</v>
          </cell>
        </row>
        <row r="55">
          <cell r="M55">
            <v>-4575761.72</v>
          </cell>
        </row>
        <row r="58">
          <cell r="M58">
            <v>82894670.75</v>
          </cell>
        </row>
        <row r="63">
          <cell r="M63">
            <v>3554350</v>
          </cell>
        </row>
        <row r="64">
          <cell r="N64">
            <v>266195252.34000003</v>
          </cell>
        </row>
        <row r="66">
          <cell r="M66">
            <v>1516210.18</v>
          </cell>
        </row>
        <row r="69">
          <cell r="M69">
            <v>6151550.6500000004</v>
          </cell>
        </row>
        <row r="70">
          <cell r="M70">
            <v>77964252.489999995</v>
          </cell>
        </row>
        <row r="71">
          <cell r="M71">
            <v>949853</v>
          </cell>
        </row>
        <row r="75">
          <cell r="M75">
            <v>260362083.37</v>
          </cell>
        </row>
        <row r="79">
          <cell r="M79">
            <v>3611553.59</v>
          </cell>
        </row>
        <row r="87">
          <cell r="M87">
            <v>354070767.64999998</v>
          </cell>
        </row>
        <row r="90">
          <cell r="M90">
            <v>698636.36</v>
          </cell>
        </row>
        <row r="91">
          <cell r="M91">
            <v>16247158.939999999</v>
          </cell>
        </row>
        <row r="93">
          <cell r="M93">
            <v>12205535.24</v>
          </cell>
        </row>
        <row r="94">
          <cell r="M94">
            <v>23661748.379999999</v>
          </cell>
        </row>
        <row r="95">
          <cell r="M95">
            <v>276438261.35000002</v>
          </cell>
        </row>
        <row r="97">
          <cell r="M97">
            <v>188888889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r"/>
      <sheetName val="Merger1"/>
      <sheetName val="Shareholders1"/>
      <sheetName val="Sheet2"/>
      <sheetName val="Sheet1"/>
      <sheetName val="JIV-Stock"/>
    </sheetNames>
    <sheetDataSet>
      <sheetData sheetId="0"/>
      <sheetData sheetId="1"/>
      <sheetData sheetId="2">
        <row r="1065">
          <cell r="Q1065">
            <v>26948863</v>
          </cell>
        </row>
        <row r="1066">
          <cell r="Q1066">
            <v>537.93649078533053</v>
          </cell>
        </row>
      </sheetData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&amp; IS"/>
      <sheetName val="Сарын дэлгэрэнгүй"/>
      <sheetName val="Loan port"/>
      <sheetName val="Авлага &amp; БМ &amp; УТТ"/>
      <sheetName val="Avlaga uglug"/>
      <sheetName val="ӨТ &amp; Зээл"/>
      <sheetName val="FA &amp;  Investments"/>
      <sheetName val="balance"/>
      <sheetName val="Ratio"/>
      <sheetName val="Fair Value Reserve"/>
      <sheetName val="Ratios"/>
      <sheetName val=" Interest payable"/>
      <sheetName val=" Intrest income"/>
      <sheetName val="Budget2016"/>
      <sheetName val="Cash flow-2016.10-12m"/>
    </sheetNames>
    <sheetDataSet>
      <sheetData sheetId="0"/>
      <sheetData sheetId="1"/>
      <sheetData sheetId="2"/>
      <sheetData sheetId="3">
        <row r="10">
          <cell r="H10">
            <v>6717501.5599999996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&amp; IS10312016"/>
      <sheetName val="Loan port"/>
      <sheetName val="Сарын дэлгэрэнгүй"/>
      <sheetName val="Avlaga uglug"/>
      <sheetName val="valuation"/>
      <sheetName val="FA, Investments"/>
      <sheetName val="balance"/>
      <sheetName val="Fair Value Reserve"/>
      <sheetName val="Ratios"/>
      <sheetName val="Huraangui"/>
      <sheetName val="ТТ-02"/>
      <sheetName val="Зөрүү"/>
      <sheetName val="ТТ-11"/>
      <sheetName val="ТТ-11-1"/>
      <sheetName val="Sheet3"/>
      <sheetName val="Sheet2"/>
      <sheetName val="СТ-1"/>
      <sheetName val="Халиунаа"/>
      <sheetName val="СТ-2"/>
      <sheetName val="СТ-3"/>
      <sheetName val="СТ-4"/>
      <sheetName val="Sheet1"/>
      <sheetName val="cover"/>
      <sheetName val="CF"/>
      <sheetName val="CF-12.31"/>
      <sheetName val="Суутган"/>
      <sheetName val="S.Insurance"/>
      <sheetName val="JIV"/>
      <sheetName val="MNP"/>
      <sheetName val="AIC"/>
      <sheetName val="rent"/>
      <sheetName val="management"/>
      <sheetName val="share sale"/>
      <sheetName val="ХБО"/>
      <sheetName val="rent ex"/>
      <sheetName val="Interest In"/>
      <sheetName val="Bond $ ₮"/>
      <sheetName val=" Interest payable"/>
      <sheetName val=" Intrest income"/>
      <sheetName val="Budget2016"/>
      <sheetName val="Cash flow-2016.10-12m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>
            <v>702057381.00999999</v>
          </cell>
        </row>
        <row r="64">
          <cell r="M64">
            <v>7909765628.4890013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escrou"/>
      <sheetName val="5001340803"/>
      <sheetName val="4476"/>
      <sheetName val="4475"/>
      <sheetName val="4475-5.17"/>
      <sheetName val="4476-5.17"/>
      <sheetName val="5001340803-05.17"/>
    </sheetNames>
    <sheetDataSet>
      <sheetData sheetId="0">
        <row r="6">
          <cell r="G6">
            <v>3250103.92</v>
          </cell>
        </row>
        <row r="77">
          <cell r="D77">
            <v>11421981.985670209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-1"/>
      <sheetName val="Баланс-3"/>
      <sheetName val="Баланс-4"/>
      <sheetName val="Баланс-5"/>
      <sheetName val="nuur-1"/>
      <sheetName val="nuur-2"/>
      <sheetName val="Гүйлгээ баланс (2)"/>
    </sheetNames>
    <sheetDataSet>
      <sheetData sheetId="0">
        <row r="10">
          <cell r="D10">
            <v>178767.89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&amp; IS10312016"/>
      <sheetName val="Loan port"/>
      <sheetName val="Сарын дэлгэрэнгүй"/>
      <sheetName val="Avlaga uglug"/>
      <sheetName val="valuation"/>
      <sheetName val="FA, Investments"/>
      <sheetName val="balance"/>
      <sheetName val="Fair Value Reserve"/>
      <sheetName val="Ratios"/>
      <sheetName val="Huraangui"/>
      <sheetName val="ТТ-02"/>
      <sheetName val="Зөрүү"/>
      <sheetName val="ТТ-11"/>
      <sheetName val="ТТ-11-1"/>
      <sheetName val="СТ-1"/>
      <sheetName val="Халиунаа"/>
      <sheetName val="СТ-2"/>
      <sheetName val="СТ-3"/>
      <sheetName val="СТ-4"/>
      <sheetName val="Sheet1"/>
      <sheetName val="CF"/>
      <sheetName val="cover"/>
      <sheetName val="Sheet2"/>
      <sheetName val="Суутган"/>
      <sheetName val=" Interest payable"/>
      <sheetName val=" Intrest income"/>
      <sheetName val="Budget2016"/>
      <sheetName val="Cash flow-2016.10-12m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L3">
            <v>33615289.459999993</v>
          </cell>
        </row>
        <row r="4">
          <cell r="L4">
            <v>5122348713.5</v>
          </cell>
        </row>
        <row r="5">
          <cell r="L5">
            <v>2767965810.0500002</v>
          </cell>
        </row>
        <row r="6">
          <cell r="L6">
            <v>26837879.600000001</v>
          </cell>
        </row>
        <row r="7">
          <cell r="L7">
            <v>1155708709.24</v>
          </cell>
        </row>
        <row r="8">
          <cell r="L8">
            <v>1220000000</v>
          </cell>
        </row>
        <row r="9">
          <cell r="L9">
            <v>826751759.17999983</v>
          </cell>
        </row>
        <row r="10">
          <cell r="L10">
            <v>19969632.330000002</v>
          </cell>
        </row>
        <row r="11">
          <cell r="L11">
            <v>52718368.019999996</v>
          </cell>
        </row>
        <row r="12">
          <cell r="L12">
            <v>40685759857.400002</v>
          </cell>
        </row>
        <row r="14">
          <cell r="L14">
            <v>240936611.27000001</v>
          </cell>
        </row>
        <row r="15">
          <cell r="L15">
            <v>80072425.920000002</v>
          </cell>
        </row>
        <row r="16">
          <cell r="L16">
            <v>74918271.189999998</v>
          </cell>
        </row>
        <row r="17">
          <cell r="L17">
            <v>2773259999</v>
          </cell>
        </row>
        <row r="19">
          <cell r="L19">
            <v>40683873.090000004</v>
          </cell>
        </row>
        <row r="20">
          <cell r="L20">
            <v>1213504690.5700002</v>
          </cell>
        </row>
        <row r="21">
          <cell r="L21">
            <v>1468087956.4000001</v>
          </cell>
        </row>
        <row r="33">
          <cell r="L33">
            <v>183998932.37</v>
          </cell>
        </row>
        <row r="34">
          <cell r="L34">
            <v>243818181.84</v>
          </cell>
        </row>
        <row r="35">
          <cell r="L35">
            <v>140337948.01999998</v>
          </cell>
        </row>
        <row r="36">
          <cell r="L36">
            <v>1217944618.8</v>
          </cell>
        </row>
        <row r="38">
          <cell r="L38">
            <v>793868809.38999999</v>
          </cell>
        </row>
        <row r="40">
          <cell r="L40">
            <v>39707179.469999999</v>
          </cell>
        </row>
        <row r="41">
          <cell r="L41">
            <v>40218493.780000001</v>
          </cell>
        </row>
        <row r="46">
          <cell r="L46">
            <v>254559047.46000001</v>
          </cell>
        </row>
        <row r="47">
          <cell r="L47">
            <v>245629045.04999998</v>
          </cell>
        </row>
        <row r="48">
          <cell r="L48">
            <v>19981620.66</v>
          </cell>
        </row>
        <row r="49">
          <cell r="L49">
            <v>126958490.95</v>
          </cell>
        </row>
        <row r="51">
          <cell r="L51">
            <v>-44245129.82</v>
          </cell>
        </row>
        <row r="53">
          <cell r="L53">
            <v>-74721863.929999992</v>
          </cell>
        </row>
        <row r="56">
          <cell r="L56">
            <v>136108221.55000001</v>
          </cell>
        </row>
        <row r="62">
          <cell r="M62">
            <v>108321906.29000001</v>
          </cell>
        </row>
        <row r="64">
          <cell r="L64">
            <v>2500961.16</v>
          </cell>
        </row>
        <row r="68">
          <cell r="L68">
            <v>11016080.310000001</v>
          </cell>
        </row>
        <row r="73">
          <cell r="L73">
            <v>116043092.47</v>
          </cell>
        </row>
        <row r="80">
          <cell r="L80">
            <v>1555220</v>
          </cell>
        </row>
        <row r="85">
          <cell r="L85">
            <v>184630853.63999999</v>
          </cell>
        </row>
        <row r="88">
          <cell r="L88">
            <v>2361503.54</v>
          </cell>
        </row>
        <row r="89">
          <cell r="L89">
            <v>4755440.3899999997</v>
          </cell>
        </row>
        <row r="90">
          <cell r="L90">
            <v>2232741.33</v>
          </cell>
        </row>
        <row r="91">
          <cell r="L91">
            <v>1392230</v>
          </cell>
        </row>
        <row r="92">
          <cell r="L92">
            <v>22389019.309999999</v>
          </cell>
        </row>
        <row r="93">
          <cell r="L93">
            <v>89348400.849999994</v>
          </cell>
        </row>
        <row r="115">
          <cell r="G115">
            <v>1879652800</v>
          </cell>
        </row>
        <row r="116">
          <cell r="F116">
            <v>160216393</v>
          </cell>
        </row>
        <row r="117">
          <cell r="G117">
            <v>9699494001.5100002</v>
          </cell>
        </row>
        <row r="118">
          <cell r="G118">
            <v>229566707.05000001</v>
          </cell>
        </row>
        <row r="121">
          <cell r="G121">
            <v>9047135818.3600006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&amp; IS10312016"/>
      <sheetName val="Loan port"/>
      <sheetName val="Сарын дэлгэрэнгүй"/>
      <sheetName val="Avlaga uglug"/>
      <sheetName val="valuation"/>
      <sheetName val="FA, Investments"/>
      <sheetName val="balance"/>
      <sheetName val="Fair Value Reserve"/>
      <sheetName val="Ratios"/>
      <sheetName val="Huraangui"/>
      <sheetName val="ТТ-02"/>
      <sheetName val="Зөрүү"/>
      <sheetName val="ТТ-11"/>
      <sheetName val="ТТ-11-1"/>
      <sheetName val="СТ-1"/>
      <sheetName val="Халиунаа"/>
      <sheetName val="СТ-2"/>
      <sheetName val="СТ-3"/>
      <sheetName val="СТ-4"/>
      <sheetName val="Sheet1"/>
      <sheetName val="CF"/>
      <sheetName val="cover"/>
      <sheetName val="Sheet2"/>
      <sheetName val="Суутган"/>
      <sheetName val=" Interest payable"/>
      <sheetName val=" Intrest income"/>
      <sheetName val="Budget2016"/>
      <sheetName val="Cash flow-2016.10-12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L3">
            <v>2857907.45</v>
          </cell>
        </row>
        <row r="4">
          <cell r="L4">
            <v>617309643.23000002</v>
          </cell>
        </row>
        <row r="5">
          <cell r="L5">
            <v>7224541617.9399996</v>
          </cell>
        </row>
        <row r="6">
          <cell r="L6">
            <v>19933142.07</v>
          </cell>
        </row>
        <row r="7">
          <cell r="L7">
            <v>1020258878.4299999</v>
          </cell>
        </row>
        <row r="8">
          <cell r="L8">
            <v>1220000000</v>
          </cell>
        </row>
        <row r="9">
          <cell r="L9">
            <v>767255395.12</v>
          </cell>
        </row>
        <row r="10">
          <cell r="L10">
            <v>18519749.170000002</v>
          </cell>
        </row>
        <row r="11">
          <cell r="L11">
            <v>48063337.5</v>
          </cell>
        </row>
        <row r="12">
          <cell r="L12">
            <v>40928492317.400002</v>
          </cell>
        </row>
        <row r="14">
          <cell r="L14">
            <v>128025157.95</v>
          </cell>
        </row>
        <row r="15">
          <cell r="L15">
            <v>142403313.09999999</v>
          </cell>
        </row>
        <row r="16">
          <cell r="L16">
            <v>44388520.149999999</v>
          </cell>
        </row>
        <row r="17">
          <cell r="L17">
            <v>2779432629.0100002</v>
          </cell>
        </row>
        <row r="19">
          <cell r="L19">
            <v>38995260.189999998</v>
          </cell>
        </row>
        <row r="20">
          <cell r="L20">
            <v>1242770954.6100001</v>
          </cell>
        </row>
        <row r="21">
          <cell r="L21">
            <v>1491361202.4000001</v>
          </cell>
        </row>
        <row r="24">
          <cell r="L24">
            <v>9256595032.3600006</v>
          </cell>
        </row>
        <row r="33">
          <cell r="L33">
            <v>211817114.19</v>
          </cell>
        </row>
        <row r="34">
          <cell r="L34">
            <v>291281818.20999998</v>
          </cell>
        </row>
        <row r="35">
          <cell r="L35">
            <v>170550384.66</v>
          </cell>
        </row>
        <row r="36">
          <cell r="L36">
            <v>1233410902.8</v>
          </cell>
        </row>
        <row r="38">
          <cell r="L38">
            <v>897653690</v>
          </cell>
        </row>
        <row r="40">
          <cell r="L40">
            <v>39734481.799999997</v>
          </cell>
        </row>
        <row r="41">
          <cell r="L41">
            <v>93375360.390000001</v>
          </cell>
        </row>
        <row r="46">
          <cell r="L46">
            <v>307054835.55000001</v>
          </cell>
        </row>
        <row r="47">
          <cell r="L47">
            <v>323028841.91000003</v>
          </cell>
        </row>
        <row r="48">
          <cell r="L48">
            <v>19981620.66</v>
          </cell>
        </row>
        <row r="49">
          <cell r="L49">
            <v>147736434.38999999</v>
          </cell>
        </row>
        <row r="51">
          <cell r="L51">
            <v>-81489812.86999999</v>
          </cell>
        </row>
        <row r="53">
          <cell r="L53">
            <v>-101618855.13</v>
          </cell>
        </row>
        <row r="56">
          <cell r="L56">
            <v>108409248.40000001</v>
          </cell>
        </row>
        <row r="62">
          <cell r="M62">
            <v>173775986.05000001</v>
          </cell>
        </row>
        <row r="64">
          <cell r="L64">
            <v>2527836.12</v>
          </cell>
        </row>
        <row r="68">
          <cell r="L68">
            <v>15429752.43</v>
          </cell>
        </row>
        <row r="73">
          <cell r="L73">
            <v>145156376.94999999</v>
          </cell>
        </row>
        <row r="85">
          <cell r="L85">
            <v>220826813.37</v>
          </cell>
        </row>
        <row r="88">
          <cell r="L88">
            <v>2469358.09</v>
          </cell>
        </row>
        <row r="89">
          <cell r="L89">
            <v>5465806.1200000001</v>
          </cell>
        </row>
        <row r="90">
          <cell r="L90">
            <v>5715637.3399999999</v>
          </cell>
        </row>
        <row r="91">
          <cell r="L91">
            <v>1392230</v>
          </cell>
        </row>
        <row r="92">
          <cell r="L92">
            <v>23802945.649999999</v>
          </cell>
        </row>
        <row r="93">
          <cell r="L93">
            <v>269059300.49000001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&amp; IS10312016"/>
      <sheetName val="Loan port"/>
      <sheetName val="Сарын дэлгэрэнгүй"/>
      <sheetName val="Avlaga uglug"/>
      <sheetName val="valuation"/>
      <sheetName val="FA, Investments"/>
      <sheetName val="balance"/>
      <sheetName val="Fair Value Reserve"/>
      <sheetName val="Ratios"/>
      <sheetName val="Huraangui"/>
      <sheetName val="ТТ-02"/>
      <sheetName val="Зөрүү"/>
      <sheetName val="ТТ-11"/>
      <sheetName val="ТТ-11-1"/>
      <sheetName val="СТ-1"/>
      <sheetName val="Халиунаа"/>
      <sheetName val="СТ-2"/>
      <sheetName val="СТ-3"/>
      <sheetName val="СТ-4"/>
      <sheetName val="Sheet1"/>
      <sheetName val="CF"/>
      <sheetName val="cover"/>
      <sheetName val="Sheet2"/>
      <sheetName val="Суутган"/>
      <sheetName val=" Interest payable"/>
      <sheetName val=" Intrest income"/>
      <sheetName val="Budget2016"/>
      <sheetName val="Cash flow-2016.10-12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L3">
            <v>2285285.6800000002</v>
          </cell>
        </row>
        <row r="4">
          <cell r="L4">
            <v>3120439439.9499998</v>
          </cell>
        </row>
        <row r="5">
          <cell r="L5">
            <v>7472822788.8899994</v>
          </cell>
        </row>
        <row r="6">
          <cell r="L6">
            <v>30167717.16</v>
          </cell>
        </row>
        <row r="7">
          <cell r="L7">
            <v>1053818547.96</v>
          </cell>
        </row>
        <row r="8">
          <cell r="L8">
            <v>1220000000</v>
          </cell>
        </row>
        <row r="9">
          <cell r="L9">
            <v>754929975.67999995</v>
          </cell>
        </row>
        <row r="10">
          <cell r="L10">
            <v>17867224.25</v>
          </cell>
        </row>
        <row r="11">
          <cell r="L11">
            <v>55422605.370000005</v>
          </cell>
        </row>
        <row r="12">
          <cell r="L12">
            <v>39276294453.199997</v>
          </cell>
        </row>
        <row r="14">
          <cell r="L14">
            <v>74419457.109999999</v>
          </cell>
        </row>
        <row r="15">
          <cell r="L15">
            <v>90103415.13000001</v>
          </cell>
        </row>
        <row r="16">
          <cell r="L16">
            <v>56820339.359999999</v>
          </cell>
        </row>
        <row r="17">
          <cell r="L17">
            <v>3219511669.0100002</v>
          </cell>
        </row>
        <row r="19">
          <cell r="L19">
            <v>38618833.879999995</v>
          </cell>
        </row>
        <row r="20">
          <cell r="L20">
            <v>2008511386.5799999</v>
          </cell>
        </row>
        <row r="21">
          <cell r="L21">
            <v>1364983164.3199999</v>
          </cell>
        </row>
        <row r="34">
          <cell r="L34">
            <v>239635296.00999999</v>
          </cell>
        </row>
        <row r="35">
          <cell r="L35">
            <v>337245454.57999998</v>
          </cell>
        </row>
        <row r="36">
          <cell r="L36">
            <v>200563896.09999999</v>
          </cell>
        </row>
        <row r="37">
          <cell r="L37">
            <v>3155699541</v>
          </cell>
        </row>
        <row r="39">
          <cell r="L39">
            <v>897653690</v>
          </cell>
        </row>
        <row r="41">
          <cell r="L41">
            <v>39743572.799999997</v>
          </cell>
        </row>
        <row r="42">
          <cell r="L42">
            <v>93683115.299999997</v>
          </cell>
        </row>
        <row r="43">
          <cell r="L43">
            <v>11.56</v>
          </cell>
        </row>
        <row r="47">
          <cell r="L47">
            <v>358502059.63</v>
          </cell>
        </row>
        <row r="48">
          <cell r="L48">
            <v>363361842.72999996</v>
          </cell>
        </row>
        <row r="49">
          <cell r="L49">
            <v>30100852.659999996</v>
          </cell>
        </row>
        <row r="50">
          <cell r="L50">
            <v>164798186.34</v>
          </cell>
        </row>
        <row r="52">
          <cell r="L52">
            <v>-81837871.400000006</v>
          </cell>
        </row>
        <row r="54">
          <cell r="L54">
            <v>-67266710.25</v>
          </cell>
        </row>
        <row r="63">
          <cell r="M63">
            <v>207991413.57999998</v>
          </cell>
        </row>
        <row r="65">
          <cell r="L65">
            <v>12621450.199999999</v>
          </cell>
        </row>
        <row r="74">
          <cell r="L74">
            <v>208549194.62</v>
          </cell>
        </row>
        <row r="81">
          <cell r="L81">
            <v>2424635.4500000002</v>
          </cell>
        </row>
        <row r="86">
          <cell r="L86">
            <v>285699243.37</v>
          </cell>
        </row>
        <row r="89">
          <cell r="L89">
            <v>3408777.78</v>
          </cell>
        </row>
        <row r="90">
          <cell r="L90">
            <v>7535061.5800000001</v>
          </cell>
        </row>
        <row r="91">
          <cell r="L91">
            <v>13374300.699999999</v>
          </cell>
        </row>
        <row r="92">
          <cell r="L92">
            <v>1392230</v>
          </cell>
        </row>
        <row r="93">
          <cell r="L93">
            <v>29910767.5</v>
          </cell>
        </row>
        <row r="116">
          <cell r="G116">
            <v>1879652800</v>
          </cell>
        </row>
        <row r="117">
          <cell r="F117">
            <v>160216393</v>
          </cell>
        </row>
        <row r="118">
          <cell r="G118">
            <v>9699494001.5100002</v>
          </cell>
        </row>
        <row r="119">
          <cell r="G119">
            <v>229566707.05000001</v>
          </cell>
        </row>
        <row r="121">
          <cell r="G121">
            <v>13799079</v>
          </cell>
        </row>
        <row r="122">
          <cell r="G122">
            <v>7656595028.04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&amp; IS10312016"/>
      <sheetName val="Loan port"/>
      <sheetName val="Сарын дэлгэрэнгүй"/>
      <sheetName val="Avlaga uglug"/>
      <sheetName val="valuation"/>
      <sheetName val="FA, Investments"/>
      <sheetName val="balance"/>
      <sheetName val="Fair Value Reserve"/>
      <sheetName val="Ratios"/>
      <sheetName val="Huraangui"/>
      <sheetName val="ТТ-02"/>
      <sheetName val="Зөрүү"/>
      <sheetName val="ТТ-11"/>
      <sheetName val="ТТ-11-1"/>
      <sheetName val="СТ-1"/>
      <sheetName val="Халиунаа"/>
      <sheetName val="СТ-2"/>
      <sheetName val="СТ-3"/>
      <sheetName val="СТ-4"/>
      <sheetName val="Sheet1"/>
      <sheetName val="CF"/>
      <sheetName val="cover"/>
      <sheetName val="Sheet2"/>
      <sheetName val="Суутган"/>
      <sheetName val=" Interest payable"/>
      <sheetName val=" Intrest income"/>
      <sheetName val="Budget2016"/>
      <sheetName val="Cash flow-2016.10-12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L3">
            <v>84621175.960000008</v>
          </cell>
        </row>
        <row r="4">
          <cell r="L4">
            <v>3184395232.77</v>
          </cell>
        </row>
        <row r="5">
          <cell r="L5">
            <v>7470326065.5799999</v>
          </cell>
        </row>
        <row r="6">
          <cell r="L6">
            <v>30437517.16</v>
          </cell>
        </row>
        <row r="7">
          <cell r="L7">
            <v>890114738.97000003</v>
          </cell>
        </row>
        <row r="8">
          <cell r="L8">
            <v>1220000000</v>
          </cell>
        </row>
        <row r="9">
          <cell r="L9">
            <v>917903622.09000015</v>
          </cell>
        </row>
        <row r="10">
          <cell r="L10">
            <v>17214699.330000002</v>
          </cell>
        </row>
        <row r="11">
          <cell r="L11">
            <v>86181330.099999994</v>
          </cell>
        </row>
        <row r="12">
          <cell r="L12">
            <v>39429752937.400002</v>
          </cell>
        </row>
        <row r="14">
          <cell r="L14">
            <v>31340271.349999998</v>
          </cell>
        </row>
        <row r="15">
          <cell r="L15">
            <v>8260426.169999999</v>
          </cell>
        </row>
        <row r="16">
          <cell r="L16">
            <v>106633521.41</v>
          </cell>
        </row>
        <row r="17">
          <cell r="L17">
            <v>3828937209.0100002</v>
          </cell>
        </row>
        <row r="18">
          <cell r="L18">
            <v>210000000</v>
          </cell>
        </row>
        <row r="19">
          <cell r="L19">
            <v>31751420.460000001</v>
          </cell>
        </row>
        <row r="20">
          <cell r="L20">
            <v>1809851057.04</v>
          </cell>
        </row>
        <row r="21">
          <cell r="L21">
            <v>1380329012.74</v>
          </cell>
        </row>
        <row r="34">
          <cell r="L34">
            <v>302157487.81999999</v>
          </cell>
        </row>
        <row r="35">
          <cell r="L35">
            <v>404118181.85999995</v>
          </cell>
        </row>
        <row r="36">
          <cell r="L36">
            <v>229728546.33000001</v>
          </cell>
        </row>
        <row r="37">
          <cell r="L37">
            <v>3155699541</v>
          </cell>
        </row>
        <row r="39">
          <cell r="L39">
            <v>897653690</v>
          </cell>
        </row>
        <row r="41">
          <cell r="L41">
            <v>39753489.979999997</v>
          </cell>
        </row>
        <row r="42">
          <cell r="L42">
            <v>103369884.44</v>
          </cell>
        </row>
        <row r="43">
          <cell r="L43">
            <v>11.56</v>
          </cell>
        </row>
        <row r="47">
          <cell r="L47">
            <v>652135907.10000002</v>
          </cell>
        </row>
        <row r="48">
          <cell r="L48">
            <v>400816096.60999995</v>
          </cell>
        </row>
        <row r="49">
          <cell r="L49">
            <v>40992246.659999996</v>
          </cell>
        </row>
        <row r="50">
          <cell r="L50">
            <v>177629189.21000001</v>
          </cell>
        </row>
        <row r="52">
          <cell r="L52">
            <v>-88259236.429999992</v>
          </cell>
        </row>
        <row r="54">
          <cell r="L54">
            <v>-82134251.25</v>
          </cell>
        </row>
        <row r="57">
          <cell r="L57">
            <v>136854733.98790908</v>
          </cell>
        </row>
        <row r="63">
          <cell r="M63">
            <v>239108824.61999997</v>
          </cell>
        </row>
        <row r="65">
          <cell r="L65">
            <v>13056186.91</v>
          </cell>
        </row>
        <row r="69">
          <cell r="L69">
            <v>20803204.43</v>
          </cell>
        </row>
        <row r="70">
          <cell r="L70">
            <v>411600</v>
          </cell>
        </row>
        <row r="74">
          <cell r="L74">
            <v>246316387.88999999</v>
          </cell>
        </row>
        <row r="81">
          <cell r="L81">
            <v>2424635.4500000002</v>
          </cell>
        </row>
        <row r="86">
          <cell r="L86">
            <v>335066666.10000002</v>
          </cell>
        </row>
        <row r="89">
          <cell r="L89">
            <v>4716111.1100000003</v>
          </cell>
        </row>
        <row r="90">
          <cell r="L90">
            <v>8192982.5800000001</v>
          </cell>
        </row>
        <row r="91">
          <cell r="L91">
            <v>15915704.34</v>
          </cell>
        </row>
        <row r="92">
          <cell r="L92">
            <v>1392230</v>
          </cell>
        </row>
        <row r="93">
          <cell r="L93">
            <v>29991667.5</v>
          </cell>
        </row>
        <row r="94">
          <cell r="L94">
            <v>269059300.49000001</v>
          </cell>
        </row>
        <row r="122">
          <cell r="G122">
            <v>7794707663.8199997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&amp; IS10312016"/>
      <sheetName val="Loan port"/>
      <sheetName val="Сарын дэлгэрэнгүй"/>
      <sheetName val="Avlaga uglug"/>
      <sheetName val="valuation"/>
      <sheetName val="FA, Investments"/>
      <sheetName val="balance"/>
      <sheetName val="Fair Value Reserve"/>
      <sheetName val="Ratios"/>
      <sheetName val="Huraangui"/>
      <sheetName val="ТТ-02"/>
      <sheetName val="Зөрүү"/>
      <sheetName val="ТТ-11"/>
      <sheetName val="ТТ-11-1"/>
      <sheetName val="СТ-1"/>
      <sheetName val="Халиунаа"/>
      <sheetName val="СТ-2"/>
      <sheetName val="СТ-3"/>
      <sheetName val="СТ-4"/>
      <sheetName val="Sheet1"/>
      <sheetName val="CF"/>
      <sheetName val="cover"/>
      <sheetName val="Sheet2"/>
      <sheetName val="Суутган"/>
      <sheetName val=" Interest payable"/>
      <sheetName val=" Intrest income"/>
      <sheetName val="Budget2016"/>
      <sheetName val="Cash flow-2016.10-12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M3">
            <v>3138472.7699999996</v>
          </cell>
        </row>
        <row r="48">
          <cell r="M48">
            <v>471554126.25999999</v>
          </cell>
        </row>
        <row r="50">
          <cell r="M50">
            <v>243730764.34999999</v>
          </cell>
        </row>
        <row r="65">
          <cell r="M65">
            <v>14341933.67</v>
          </cell>
        </row>
        <row r="74">
          <cell r="M74">
            <v>295855894.87</v>
          </cell>
        </row>
        <row r="81">
          <cell r="M81">
            <v>6988553.8099999996</v>
          </cell>
        </row>
        <row r="86">
          <cell r="M86">
            <v>426035493.47000003</v>
          </cell>
        </row>
        <row r="89">
          <cell r="M89">
            <v>3985035.35</v>
          </cell>
        </row>
        <row r="90">
          <cell r="M90">
            <v>10027403.210000001</v>
          </cell>
        </row>
        <row r="91">
          <cell r="M91">
            <v>19836317.370000001</v>
          </cell>
        </row>
        <row r="92">
          <cell r="M92">
            <v>1392230</v>
          </cell>
        </row>
        <row r="93">
          <cell r="M93">
            <v>39986375.210000001</v>
          </cell>
        </row>
        <row r="94">
          <cell r="M94">
            <v>446790600.13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&amp; IS10312016"/>
      <sheetName val="Loan port"/>
      <sheetName val="Сарын дэлгэрэнгүй"/>
      <sheetName val="Avlaga uglug"/>
      <sheetName val="valuation"/>
      <sheetName val="FA, Investments"/>
      <sheetName val="balance"/>
      <sheetName val="Fair Value Reserve"/>
      <sheetName val="Ratios"/>
      <sheetName val="Huraangui"/>
      <sheetName val="ТТ-02"/>
      <sheetName val="Зөрүү"/>
      <sheetName val="ТТ-11"/>
      <sheetName val="ТТ-11-1"/>
      <sheetName val="СТ-1"/>
      <sheetName val="Халиунаа"/>
      <sheetName val="СТ-2"/>
      <sheetName val="СТ-3"/>
      <sheetName val="СТ-4"/>
      <sheetName val="Sheet1"/>
      <sheetName val="cover"/>
      <sheetName val="CF"/>
      <sheetName val="CF-11.30"/>
      <sheetName val="Суутган"/>
      <sheetName val="S.Insurance"/>
      <sheetName val="JIV"/>
      <sheetName val="MNP"/>
      <sheetName val="AIC"/>
      <sheetName val="rent"/>
      <sheetName val="Sheet10"/>
      <sheetName val=" Interest payable"/>
      <sheetName val=" Intrest income"/>
      <sheetName val="Budget2016"/>
      <sheetName val="Cash flow-2016.10-12m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>
            <v>29685206.310000002</v>
          </cell>
        </row>
        <row r="4">
          <cell r="M4">
            <v>3158462411.8100004</v>
          </cell>
        </row>
        <row r="5">
          <cell r="M5">
            <v>7000071410.0999994</v>
          </cell>
        </row>
        <row r="6">
          <cell r="M6">
            <v>34549244.43</v>
          </cell>
        </row>
        <row r="7">
          <cell r="M7">
            <v>656167230.79999995</v>
          </cell>
        </row>
        <row r="8">
          <cell r="M8">
            <v>2620000000</v>
          </cell>
        </row>
        <row r="9">
          <cell r="M9">
            <v>1007003358.8</v>
          </cell>
        </row>
        <row r="10">
          <cell r="M10">
            <v>15257124.580000002</v>
          </cell>
        </row>
        <row r="11">
          <cell r="M11">
            <v>117389399.11</v>
          </cell>
        </row>
        <row r="12">
          <cell r="M12">
            <v>40121144846.389999</v>
          </cell>
        </row>
        <row r="14">
          <cell r="M14">
            <v>90807020.950000003</v>
          </cell>
        </row>
        <row r="15">
          <cell r="M15">
            <v>10839349.17</v>
          </cell>
        </row>
        <row r="16">
          <cell r="M16">
            <v>22241107.48</v>
          </cell>
        </row>
        <row r="17">
          <cell r="M17">
            <v>5163500019.0100002</v>
          </cell>
        </row>
        <row r="18">
          <cell r="M18">
            <v>249404131.69</v>
          </cell>
        </row>
        <row r="19">
          <cell r="M19">
            <v>17314704.300000001</v>
          </cell>
        </row>
        <row r="20">
          <cell r="M20">
            <v>1869139341.6300001</v>
          </cell>
        </row>
        <row r="21">
          <cell r="M21">
            <v>1428103274.79</v>
          </cell>
        </row>
        <row r="25">
          <cell r="M25">
            <v>9328279555.1499996</v>
          </cell>
        </row>
        <row r="34">
          <cell r="M34">
            <v>284355272.75</v>
          </cell>
        </row>
        <row r="35">
          <cell r="M35">
            <v>510250000</v>
          </cell>
        </row>
        <row r="36">
          <cell r="M36">
            <v>311806067.25999999</v>
          </cell>
        </row>
        <row r="37">
          <cell r="M37">
            <v>2790402557.6799998</v>
          </cell>
        </row>
        <row r="39">
          <cell r="M39">
            <v>897653690</v>
          </cell>
        </row>
        <row r="41">
          <cell r="M41">
            <v>40863319.450000003</v>
          </cell>
        </row>
        <row r="42">
          <cell r="M42">
            <v>223224158.66999999</v>
          </cell>
        </row>
        <row r="43">
          <cell r="M43">
            <v>11.56</v>
          </cell>
        </row>
        <row r="47">
          <cell r="M47">
            <v>858118791.46000004</v>
          </cell>
        </row>
        <row r="48">
          <cell r="M48">
            <v>574402976.12</v>
          </cell>
        </row>
        <row r="49">
          <cell r="M49">
            <v>104088085.73</v>
          </cell>
        </row>
        <row r="50">
          <cell r="M50">
            <v>283596176.25999999</v>
          </cell>
        </row>
        <row r="52">
          <cell r="M52">
            <v>-172895879.44</v>
          </cell>
        </row>
        <row r="54">
          <cell r="M54">
            <v>-18800000</v>
          </cell>
        </row>
        <row r="55">
          <cell r="M55">
            <v>-177782375.95000002</v>
          </cell>
        </row>
        <row r="57">
          <cell r="M57">
            <v>939114636.4000001</v>
          </cell>
        </row>
        <row r="58">
          <cell r="M58">
            <v>120945974.70999999</v>
          </cell>
        </row>
        <row r="64">
          <cell r="N64">
            <v>367354895.15000004</v>
          </cell>
        </row>
        <row r="66">
          <cell r="M66">
            <v>17963827.75</v>
          </cell>
        </row>
        <row r="69">
          <cell r="M69">
            <v>21500000</v>
          </cell>
        </row>
        <row r="70">
          <cell r="M70">
            <v>53371377.43</v>
          </cell>
        </row>
        <row r="71">
          <cell r="M71">
            <v>411600</v>
          </cell>
        </row>
        <row r="75">
          <cell r="M75">
            <v>400179884.38999999</v>
          </cell>
        </row>
        <row r="82">
          <cell r="M82">
            <v>8429462.8100000005</v>
          </cell>
        </row>
        <row r="87">
          <cell r="M87">
            <v>529224193.01999998</v>
          </cell>
        </row>
        <row r="90">
          <cell r="M90">
            <v>4778883.82</v>
          </cell>
        </row>
        <row r="91">
          <cell r="M91">
            <v>11326611.390000001</v>
          </cell>
        </row>
        <row r="92">
          <cell r="M92">
            <v>19859317.370000001</v>
          </cell>
        </row>
        <row r="93">
          <cell r="M93">
            <v>1392230</v>
          </cell>
        </row>
        <row r="94">
          <cell r="M94">
            <v>47173272.75</v>
          </cell>
        </row>
        <row r="95">
          <cell r="M95">
            <v>446790600.13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Ард Санхүүгийн Нэгдэл ХК</v>
          </cell>
        </row>
        <row r="59">
          <cell r="E59">
            <v>9929060708.5599995</v>
          </cell>
        </row>
      </sheetData>
      <sheetData sheetId="15"/>
      <sheetData sheetId="16">
        <row r="26">
          <cell r="E26">
            <v>818168661.68999934</v>
          </cell>
        </row>
      </sheetData>
      <sheetData sheetId="17"/>
      <sheetData sheetId="18"/>
      <sheetData sheetId="19"/>
      <sheetData sheetId="20"/>
      <sheetData sheetId="21">
        <row r="13">
          <cell r="E13">
            <v>380558084.32999998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&amp; IS10312016"/>
      <sheetName val="Loan port"/>
      <sheetName val="Сарын дэлгэрэнгүй"/>
      <sheetName val="Avlaga uglug"/>
      <sheetName val="valuation"/>
      <sheetName val="FA, Investments"/>
      <sheetName val="balance"/>
      <sheetName val="Fair Value Reserve"/>
      <sheetName val="Ratios"/>
      <sheetName val="Huraangui"/>
      <sheetName val="ТТ-02"/>
      <sheetName val="Зөрүү"/>
      <sheetName val="ТТ-11"/>
      <sheetName val="ТТ-11-1"/>
      <sheetName val="СТ-1"/>
      <sheetName val="Халиунаа"/>
      <sheetName val="СТ-2"/>
      <sheetName val="СТ-3"/>
      <sheetName val="СТ-4"/>
      <sheetName val="Sheet1"/>
      <sheetName val="CF"/>
      <sheetName val="cover"/>
      <sheetName val="Sheet2"/>
      <sheetName val="Суутган"/>
      <sheetName val=" Interest payable"/>
      <sheetName val=" Intrest income"/>
      <sheetName val="Budget2016"/>
      <sheetName val="Cash flow-2016.10-12m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M4">
            <v>3111079767.1500001</v>
          </cell>
        </row>
        <row r="5">
          <cell r="M5">
            <v>7023690668.96</v>
          </cell>
        </row>
        <row r="6">
          <cell r="M6">
            <v>30437517.16</v>
          </cell>
        </row>
        <row r="7">
          <cell r="M7">
            <v>710569392.79999995</v>
          </cell>
        </row>
        <row r="8">
          <cell r="M8">
            <v>2620000000</v>
          </cell>
        </row>
        <row r="9">
          <cell r="M9">
            <v>896418169.90999997</v>
          </cell>
        </row>
        <row r="10">
          <cell r="M10">
            <v>16562174.420000002</v>
          </cell>
        </row>
        <row r="11">
          <cell r="M11">
            <v>92220840.150000006</v>
          </cell>
        </row>
        <row r="12">
          <cell r="M12">
            <v>40130413568.989998</v>
          </cell>
        </row>
        <row r="14">
          <cell r="M14">
            <v>131525733.25</v>
          </cell>
        </row>
        <row r="15">
          <cell r="M15">
            <v>39914441.869999997</v>
          </cell>
        </row>
        <row r="16">
          <cell r="M16">
            <v>104628355.48</v>
          </cell>
        </row>
        <row r="17">
          <cell r="M17">
            <v>4311376109.0100002</v>
          </cell>
        </row>
        <row r="18">
          <cell r="M18">
            <v>160000000</v>
          </cell>
        </row>
        <row r="19">
          <cell r="M19">
            <v>32885007.260000002</v>
          </cell>
        </row>
        <row r="20">
          <cell r="M20">
            <v>1856588769.6400001</v>
          </cell>
        </row>
        <row r="21">
          <cell r="M21">
            <v>1430860610.9400001</v>
          </cell>
        </row>
        <row r="29">
          <cell r="M29">
            <v>54634530573.320007</v>
          </cell>
        </row>
        <row r="34">
          <cell r="M34">
            <v>324587160.55000001</v>
          </cell>
        </row>
        <row r="35">
          <cell r="M35">
            <v>447377272.74000001</v>
          </cell>
        </row>
        <row r="36">
          <cell r="M36">
            <v>268018822.84999999</v>
          </cell>
        </row>
        <row r="37">
          <cell r="M37">
            <v>2782487647.6799998</v>
          </cell>
        </row>
        <row r="39">
          <cell r="M39">
            <v>897653690</v>
          </cell>
        </row>
        <row r="41">
          <cell r="M41">
            <v>39871375.82</v>
          </cell>
        </row>
        <row r="42">
          <cell r="M42">
            <v>180094273.31</v>
          </cell>
        </row>
        <row r="43">
          <cell r="M43">
            <v>11.56</v>
          </cell>
        </row>
        <row r="47">
          <cell r="M47">
            <v>707017773.51999998</v>
          </cell>
        </row>
        <row r="49">
          <cell r="M49">
            <v>80996654.280000001</v>
          </cell>
        </row>
        <row r="52">
          <cell r="M52">
            <v>-139512417.63000003</v>
          </cell>
        </row>
        <row r="54">
          <cell r="M54">
            <v>-18800000</v>
          </cell>
        </row>
        <row r="55">
          <cell r="M55">
            <v>-87563059.129999995</v>
          </cell>
        </row>
        <row r="57">
          <cell r="M57">
            <v>1606609339.3099999</v>
          </cell>
        </row>
        <row r="58">
          <cell r="M58">
            <v>154886441.44</v>
          </cell>
        </row>
        <row r="64">
          <cell r="N64">
            <v>278847820.51000005</v>
          </cell>
        </row>
        <row r="69">
          <cell r="M69">
            <v>10000000</v>
          </cell>
        </row>
        <row r="70">
          <cell r="M70">
            <v>29806862.43</v>
          </cell>
        </row>
        <row r="71">
          <cell r="M71">
            <v>411600</v>
          </cell>
        </row>
        <row r="123">
          <cell r="G123">
            <v>9353095580.5300007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&amp; IS"/>
      <sheetName val="Сарын дэлгэрэнгүй"/>
      <sheetName val="Loan port"/>
      <sheetName val="Avlaga uglug"/>
      <sheetName val="FA, Investments"/>
      <sheetName val="balance"/>
      <sheetName val="Ratio"/>
      <sheetName val="Fair Value Reserve"/>
      <sheetName val="Ratios"/>
      <sheetName val=" Interest payable"/>
      <sheetName val=" Intrest income"/>
      <sheetName val="Budget2016"/>
      <sheetName val="Cash flow-2016.10-12m"/>
    </sheetNames>
    <sheetDataSet>
      <sheetData sheetId="0">
        <row r="8">
          <cell r="Z8">
            <v>3150607.15711</v>
          </cell>
        </row>
      </sheetData>
      <sheetData sheetId="1"/>
      <sheetData sheetId="2"/>
      <sheetData sheetId="3"/>
      <sheetData sheetId="4"/>
      <sheetData sheetId="5">
        <row r="121">
          <cell r="E12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3"/>
  <sheetViews>
    <sheetView topLeftCell="A7" workbookViewId="0">
      <selection activeCell="AH23" sqref="AH23"/>
    </sheetView>
  </sheetViews>
  <sheetFormatPr defaultColWidth="8.88671875" defaultRowHeight="12" x14ac:dyDescent="0.25"/>
  <cols>
    <col min="1" max="1" width="9.88671875" style="44" customWidth="1"/>
    <col min="2" max="2" width="34.6640625" style="44" customWidth="1"/>
    <col min="3" max="3" width="10.6640625" style="44" hidden="1" customWidth="1"/>
    <col min="4" max="4" width="11.109375" style="58" hidden="1" customWidth="1"/>
    <col min="5" max="5" width="11" style="58" hidden="1" customWidth="1"/>
    <col min="6" max="6" width="17.5546875" style="58" hidden="1" customWidth="1"/>
    <col min="7" max="7" width="13" style="44" hidden="1" customWidth="1"/>
    <col min="8" max="8" width="13" style="59" hidden="1" customWidth="1"/>
    <col min="9" max="11" width="13" style="60" hidden="1" customWidth="1"/>
    <col min="12" max="19" width="13" style="59" hidden="1" customWidth="1"/>
    <col min="20" max="21" width="10.88671875" style="60" hidden="1" customWidth="1"/>
    <col min="22" max="25" width="10.88671875" style="60" customWidth="1"/>
    <col min="26" max="31" width="10.88671875" style="60" hidden="1" customWidth="1"/>
    <col min="32" max="35" width="10.88671875" style="60" customWidth="1"/>
    <col min="36" max="36" width="13" style="58" hidden="1" customWidth="1"/>
    <col min="37" max="37" width="12" style="58" hidden="1" customWidth="1"/>
    <col min="38" max="38" width="11.109375" style="159" hidden="1" customWidth="1"/>
    <col min="39" max="39" width="9.5546875" style="44" hidden="1" customWidth="1"/>
    <col min="40" max="40" width="0" style="44" hidden="1" customWidth="1"/>
    <col min="41" max="16384" width="8.88671875" style="44"/>
  </cols>
  <sheetData>
    <row r="1" spans="1:38" x14ac:dyDescent="0.25">
      <c r="A1" s="57"/>
      <c r="B1" s="57"/>
      <c r="W1" s="60" t="s">
        <v>108</v>
      </c>
      <c r="Y1" s="44"/>
      <c r="AG1" s="60" t="s">
        <v>0</v>
      </c>
      <c r="AI1" s="44"/>
    </row>
    <row r="2" spans="1:38" ht="15.6" x14ac:dyDescent="0.3">
      <c r="B2" s="61"/>
    </row>
    <row r="4" spans="1:38" ht="13.2" x14ac:dyDescent="0.25">
      <c r="B4" s="62" t="s">
        <v>1</v>
      </c>
      <c r="C4" s="33"/>
      <c r="D4" s="24"/>
      <c r="E4" s="24"/>
      <c r="F4" s="24"/>
      <c r="G4" s="33"/>
      <c r="H4" s="49"/>
      <c r="I4" s="28"/>
      <c r="J4" s="28"/>
      <c r="K4" s="28"/>
      <c r="L4" s="49"/>
      <c r="M4" s="49"/>
      <c r="N4" s="49"/>
      <c r="O4" s="49"/>
      <c r="P4" s="49"/>
      <c r="Q4" s="49"/>
      <c r="R4" s="49"/>
      <c r="S4" s="49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8" ht="15" customHeight="1" x14ac:dyDescent="0.25">
      <c r="B5" s="322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2" t="s">
        <v>7</v>
      </c>
      <c r="H5" s="2" t="s">
        <v>8</v>
      </c>
      <c r="I5" s="3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321" t="s">
        <v>22</v>
      </c>
      <c r="W5" s="321"/>
      <c r="X5" s="321" t="s">
        <v>175</v>
      </c>
      <c r="Y5" s="321" t="s">
        <v>22</v>
      </c>
      <c r="Z5" s="4" t="s">
        <v>23</v>
      </c>
      <c r="AA5" s="4" t="s">
        <v>24</v>
      </c>
      <c r="AB5" s="4" t="s">
        <v>25</v>
      </c>
      <c r="AC5" s="4" t="s">
        <v>26</v>
      </c>
      <c r="AD5" s="4" t="s">
        <v>27</v>
      </c>
      <c r="AE5" s="4" t="s">
        <v>28</v>
      </c>
      <c r="AF5" s="321" t="s">
        <v>29</v>
      </c>
      <c r="AG5" s="321"/>
      <c r="AH5" s="321" t="s">
        <v>175</v>
      </c>
      <c r="AI5" s="321" t="s">
        <v>390</v>
      </c>
    </row>
    <row r="6" spans="1:38" x14ac:dyDescent="0.25">
      <c r="B6" s="322"/>
      <c r="C6" s="5" t="s">
        <v>30</v>
      </c>
      <c r="D6" s="6">
        <v>1</v>
      </c>
      <c r="E6" s="6">
        <v>1</v>
      </c>
      <c r="F6" s="6">
        <v>1</v>
      </c>
      <c r="G6" s="7" t="s">
        <v>31</v>
      </c>
      <c r="H6" s="7" t="s">
        <v>32</v>
      </c>
      <c r="I6" s="8"/>
      <c r="J6" s="9" t="s">
        <v>33</v>
      </c>
      <c r="K6" s="8">
        <v>1</v>
      </c>
      <c r="L6" s="7" t="s">
        <v>34</v>
      </c>
      <c r="M6" s="7" t="s">
        <v>35</v>
      </c>
      <c r="N6" s="7" t="s">
        <v>31</v>
      </c>
      <c r="O6" s="7" t="s">
        <v>35</v>
      </c>
      <c r="P6" s="7" t="s">
        <v>35</v>
      </c>
      <c r="Q6" s="7" t="s">
        <v>34</v>
      </c>
      <c r="R6" s="7" t="s">
        <v>34</v>
      </c>
      <c r="S6" s="7" t="s">
        <v>31</v>
      </c>
      <c r="T6" s="7" t="s">
        <v>31</v>
      </c>
      <c r="U6" s="7" t="s">
        <v>31</v>
      </c>
      <c r="V6" s="7" t="s">
        <v>106</v>
      </c>
      <c r="W6" s="7" t="s">
        <v>107</v>
      </c>
      <c r="X6" s="321"/>
      <c r="Y6" s="321"/>
      <c r="Z6" s="7" t="s">
        <v>34</v>
      </c>
      <c r="AA6" s="7"/>
      <c r="AB6" s="7" t="s">
        <v>34</v>
      </c>
      <c r="AC6" s="7" t="s">
        <v>35</v>
      </c>
      <c r="AD6" s="7" t="s">
        <v>35</v>
      </c>
      <c r="AE6" s="7" t="s">
        <v>35</v>
      </c>
      <c r="AF6" s="7" t="s">
        <v>106</v>
      </c>
      <c r="AG6" s="7" t="s">
        <v>107</v>
      </c>
      <c r="AH6" s="321"/>
      <c r="AI6" s="321"/>
    </row>
    <row r="7" spans="1:38" x14ac:dyDescent="0.25">
      <c r="B7" s="10" t="s">
        <v>36</v>
      </c>
      <c r="C7" s="11">
        <v>1328120.385</v>
      </c>
      <c r="D7" s="12">
        <v>169123.652</v>
      </c>
      <c r="E7" s="12">
        <v>311415.054</v>
      </c>
      <c r="F7" s="12">
        <v>177452.745</v>
      </c>
      <c r="G7" s="11">
        <v>86255.706000000006</v>
      </c>
      <c r="H7" s="11">
        <v>109372.98</v>
      </c>
      <c r="I7" s="12">
        <v>81221.5</v>
      </c>
      <c r="J7" s="12">
        <v>106930.227</v>
      </c>
      <c r="K7" s="12">
        <v>166192.22357290002</v>
      </c>
      <c r="L7" s="12">
        <v>160622</v>
      </c>
      <c r="M7" s="12">
        <v>89555.462430000014</v>
      </c>
      <c r="N7" s="12">
        <v>410870.36984199996</v>
      </c>
      <c r="O7" s="12">
        <v>145688.48229839999</v>
      </c>
      <c r="P7" s="12">
        <v>93709.766416500002</v>
      </c>
      <c r="Q7" s="12">
        <v>43911.565386499999</v>
      </c>
      <c r="R7" s="12">
        <v>198842.30308749998</v>
      </c>
      <c r="S7" s="12">
        <v>40769.681027499995</v>
      </c>
      <c r="T7" s="12">
        <v>110760.1536428</v>
      </c>
      <c r="U7" s="12">
        <f>+[1]balance!$M$3/1000</f>
        <v>35922.318169999991</v>
      </c>
      <c r="V7" s="12">
        <v>689066.35540999996</v>
      </c>
      <c r="W7" s="12">
        <v>791</v>
      </c>
      <c r="X7" s="12"/>
      <c r="Y7" s="12">
        <f>+V7+W7+X7</f>
        <v>689857.35540999996</v>
      </c>
      <c r="Z7" s="12">
        <v>1909.6836199999996</v>
      </c>
      <c r="AA7" s="12">
        <f>+[2]balance!$L$3/1000</f>
        <v>33615.289459999993</v>
      </c>
      <c r="AB7" s="12">
        <f>+[3]balance!$L$3/1000</f>
        <v>2857.9074500000002</v>
      </c>
      <c r="AC7" s="12">
        <f>+[4]balance!$L$3/1000</f>
        <v>2285.28568</v>
      </c>
      <c r="AD7" s="12">
        <f>+[5]balance!$L$3/1000</f>
        <v>84621.175960000008</v>
      </c>
      <c r="AE7" s="12">
        <f>[6]balance!$M$3/1000</f>
        <v>3138.4727699999994</v>
      </c>
      <c r="AF7" s="12">
        <f>+[7]balance!$M$3/1000</f>
        <v>29685.206310000001</v>
      </c>
      <c r="AG7" s="12">
        <v>752</v>
      </c>
      <c r="AH7" s="12"/>
      <c r="AI7" s="12">
        <f>+AF7+AG7+AH7</f>
        <v>30437.206310000001</v>
      </c>
    </row>
    <row r="8" spans="1:38" x14ac:dyDescent="0.25">
      <c r="B8" s="10" t="s">
        <v>37</v>
      </c>
      <c r="C8" s="11">
        <f>12776819+20151</f>
        <v>12796970</v>
      </c>
      <c r="D8" s="12">
        <v>355089.81049999996</v>
      </c>
      <c r="E8" s="12">
        <v>367697.54741999996</v>
      </c>
      <c r="F8" s="12">
        <v>366936.24474999995</v>
      </c>
      <c r="G8" s="11">
        <v>362412.97123999993</v>
      </c>
      <c r="H8" s="11">
        <v>480335.03330999991</v>
      </c>
      <c r="I8" s="12">
        <v>517706.43897999992</v>
      </c>
      <c r="J8" s="12">
        <v>430353.01702999993</v>
      </c>
      <c r="K8" s="12">
        <v>3760146.5702600009</v>
      </c>
      <c r="L8" s="12">
        <v>4321921</v>
      </c>
      <c r="M8" s="12">
        <v>3684148.1797337332</v>
      </c>
      <c r="N8" s="12">
        <v>458254</v>
      </c>
      <c r="O8" s="12">
        <v>463915.69895319996</v>
      </c>
      <c r="P8" s="12">
        <f>450478.761506+22908</f>
        <v>473386.76150600001</v>
      </c>
      <c r="Q8" s="12">
        <v>661643.09585160005</v>
      </c>
      <c r="R8" s="12">
        <v>686309.30582273344</v>
      </c>
      <c r="S8" s="12">
        <v>728556.93839999998</v>
      </c>
      <c r="T8" s="12">
        <v>817931.17186799995</v>
      </c>
      <c r="U8" s="12">
        <f>+[1]balance!$M$4/1000+[1]balance!$M$6/1000</f>
        <v>5308164.3695</v>
      </c>
      <c r="V8" s="12">
        <v>4822522.5158799998</v>
      </c>
      <c r="W8" s="12">
        <v>50189</v>
      </c>
      <c r="X8" s="12">
        <f>-42757-10940</f>
        <v>-53697</v>
      </c>
      <c r="Y8" s="12">
        <f t="shared" ref="Y8:Y15" si="0">+V8+W8+X8</f>
        <v>4819014.5158799998</v>
      </c>
      <c r="Z8" s="12">
        <v>4958924.1088300003</v>
      </c>
      <c r="AA8" s="12">
        <f>+[2]balance!$L$4/1000+[2]balance!$L$6/1000-4422222</f>
        <v>726964.59309999924</v>
      </c>
      <c r="AB8" s="12">
        <f>+[3]balance!$L$4/1000+[3]balance!$L$6/1000</f>
        <v>637242.78530000011</v>
      </c>
      <c r="AC8" s="12">
        <f>+[4]balance!$L$4/1000+[4]balance!$L$6/1000</f>
        <v>3150607.15711</v>
      </c>
      <c r="AD8" s="12">
        <f>+[5]balance!$L$4/1000+[5]balance!$L$6/1000</f>
        <v>3214832.7499299999</v>
      </c>
      <c r="AE8" s="12">
        <f>+[8]balance!$M$4/1000+[8]balance!$M$6/1000</f>
        <v>3141517.28431</v>
      </c>
      <c r="AF8" s="12">
        <f>+[7]balance!$M$4/1000+[7]balance!$M$6/1000</f>
        <v>3193011.6562400004</v>
      </c>
      <c r="AG8" s="12">
        <v>23299</v>
      </c>
      <c r="AH8" s="12">
        <v>-23299</v>
      </c>
      <c r="AI8" s="12">
        <f t="shared" ref="AI8:AI15" si="1">+AF8+AG8+AH8</f>
        <v>3193011.6562400004</v>
      </c>
    </row>
    <row r="9" spans="1:38" x14ac:dyDescent="0.25">
      <c r="B9" s="10" t="s">
        <v>38</v>
      </c>
      <c r="C9" s="11">
        <v>3325736.3407231998</v>
      </c>
      <c r="D9" s="12">
        <v>9179583.1239928994</v>
      </c>
      <c r="E9" s="12">
        <v>8855075.6069424003</v>
      </c>
      <c r="F9" s="12">
        <v>8906885.7097432986</v>
      </c>
      <c r="G9" s="11">
        <v>8483025.5307947993</v>
      </c>
      <c r="H9" s="11">
        <v>6259582.4191453997</v>
      </c>
      <c r="I9" s="12">
        <v>6069608.2607821999</v>
      </c>
      <c r="J9" s="12">
        <v>6471061.8204948995</v>
      </c>
      <c r="K9" s="12">
        <v>6030613.3443299998</v>
      </c>
      <c r="L9" s="12">
        <v>5393761</v>
      </c>
      <c r="M9" s="12">
        <v>5374966.2812194992</v>
      </c>
      <c r="N9" s="12">
        <v>9346581</v>
      </c>
      <c r="O9" s="12">
        <v>8584964.5199047998</v>
      </c>
      <c r="P9" s="12">
        <v>7473835.7443939997</v>
      </c>
      <c r="Q9" s="12">
        <v>7293706.3387123998</v>
      </c>
      <c r="R9" s="12">
        <v>7376585.8921750989</v>
      </c>
      <c r="S9" s="12">
        <v>7333517.8035649993</v>
      </c>
      <c r="T9" s="12">
        <v>8693778.7022148985</v>
      </c>
      <c r="U9" s="12">
        <f>+[1]balance!$M$5/1000</f>
        <v>4302406.1711200001</v>
      </c>
      <c r="V9" s="12">
        <v>2505964.3489999999</v>
      </c>
      <c r="W9" s="12"/>
      <c r="X9" s="12"/>
      <c r="Y9" s="12">
        <f t="shared" si="0"/>
        <v>2505964.3489999999</v>
      </c>
      <c r="Z9" s="12">
        <v>2423592.9502400002</v>
      </c>
      <c r="AA9" s="12">
        <f>+[2]balance!$L$5/1000+4422222</f>
        <v>7190187.8100499995</v>
      </c>
      <c r="AB9" s="12">
        <f>+[3]balance!$L$5/1000</f>
        <v>7224541.6179399993</v>
      </c>
      <c r="AC9" s="12">
        <f>+[4]balance!$L$5/1000</f>
        <v>7472822.7888899995</v>
      </c>
      <c r="AD9" s="12">
        <f>+[5]balance!$L$5/1000</f>
        <v>7470326.0655800002</v>
      </c>
      <c r="AE9" s="12">
        <f>+[8]balance!$M$5/1000</f>
        <v>7023690.6689600004</v>
      </c>
      <c r="AF9" s="12">
        <f>+[7]balance!$M$5/1000</f>
        <v>7000071.410099999</v>
      </c>
      <c r="AG9" s="12"/>
      <c r="AH9" s="12"/>
      <c r="AI9" s="12">
        <f t="shared" si="1"/>
        <v>7000071.410099999</v>
      </c>
    </row>
    <row r="10" spans="1:38" x14ac:dyDescent="0.25">
      <c r="B10" s="10" t="s">
        <v>39</v>
      </c>
      <c r="C10" s="11">
        <v>127526.02692</v>
      </c>
      <c r="D10" s="12">
        <v>244047.76016000003</v>
      </c>
      <c r="E10" s="12">
        <v>338081.27316000004</v>
      </c>
      <c r="F10" s="12">
        <v>226834.55661000003</v>
      </c>
      <c r="G10" s="11">
        <v>216866.25361000001</v>
      </c>
      <c r="H10" s="11">
        <v>197729.05403999999</v>
      </c>
      <c r="I10" s="12">
        <v>186336.92677000002</v>
      </c>
      <c r="J10" s="12">
        <v>180196.62639999998</v>
      </c>
      <c r="K10" s="12">
        <v>179438.86763999998</v>
      </c>
      <c r="L10" s="12">
        <v>177099</v>
      </c>
      <c r="M10" s="12">
        <v>163061.85563000001</v>
      </c>
      <c r="N10" s="12">
        <v>621786.10571000003</v>
      </c>
      <c r="O10" s="12">
        <v>264744.90858500003</v>
      </c>
      <c r="P10" s="12">
        <v>281780.44166250003</v>
      </c>
      <c r="Q10" s="12">
        <v>688563.16447000008</v>
      </c>
      <c r="R10" s="12">
        <v>687565.85047000006</v>
      </c>
      <c r="S10" s="12">
        <v>679712.58671000006</v>
      </c>
      <c r="T10" s="12">
        <v>580541.48899999994</v>
      </c>
      <c r="U10" s="12">
        <f>+[1]balance!$M$7/1000</f>
        <v>630226.16400999995</v>
      </c>
      <c r="V10" s="12">
        <v>423914.02226</v>
      </c>
      <c r="W10" s="12">
        <v>203</v>
      </c>
      <c r="X10" s="12"/>
      <c r="Y10" s="12">
        <f t="shared" si="0"/>
        <v>424117.02226</v>
      </c>
      <c r="Z10" s="12">
        <v>379681.76582999999</v>
      </c>
      <c r="AA10" s="12">
        <f>+[2]balance!$L$7/1000</f>
        <v>1155708.70924</v>
      </c>
      <c r="AB10" s="12">
        <f>+[3]balance!$L$7/1000</f>
        <v>1020258.8784299999</v>
      </c>
      <c r="AC10" s="12">
        <f>+[4]balance!$L$7/1000</f>
        <v>1053818.5479600001</v>
      </c>
      <c r="AD10" s="12">
        <f>+[5]balance!$L$7/1000</f>
        <v>890114.73897000006</v>
      </c>
      <c r="AE10" s="12">
        <f>+[8]balance!$M$7/1000</f>
        <v>710569.39279999991</v>
      </c>
      <c r="AF10" s="12">
        <f>+[7]balance!$M$7/1000</f>
        <v>656167.2307999999</v>
      </c>
      <c r="AG10" s="12">
        <v>203</v>
      </c>
      <c r="AH10" s="12"/>
      <c r="AI10" s="12">
        <f t="shared" si="1"/>
        <v>656370.2307999999</v>
      </c>
    </row>
    <row r="11" spans="1:38" x14ac:dyDescent="0.25">
      <c r="B11" s="10" t="s">
        <v>40</v>
      </c>
      <c r="C11" s="11">
        <v>1537605.7536599999</v>
      </c>
      <c r="D11" s="12">
        <v>1416955.0833299998</v>
      </c>
      <c r="E11" s="12">
        <v>1416955.0833299998</v>
      </c>
      <c r="F11" s="12">
        <v>1416955.0833299998</v>
      </c>
      <c r="G11" s="11">
        <v>1687243.1971300002</v>
      </c>
      <c r="H11" s="11">
        <v>1370970.00376</v>
      </c>
      <c r="I11" s="12">
        <v>688140.03894000011</v>
      </c>
      <c r="J11" s="12">
        <v>682142.04310000001</v>
      </c>
      <c r="K11" s="12">
        <v>676748.45621000009</v>
      </c>
      <c r="L11" s="12">
        <v>677328</v>
      </c>
      <c r="M11" s="12">
        <v>678401.18348000001</v>
      </c>
      <c r="N11" s="12">
        <v>673990.19591000024</v>
      </c>
      <c r="O11" s="12">
        <v>905990.19591000013</v>
      </c>
      <c r="P11" s="12">
        <v>909518.39591000008</v>
      </c>
      <c r="Q11" s="12">
        <v>1009771.1539899999</v>
      </c>
      <c r="R11" s="12">
        <v>1018093.8039899998</v>
      </c>
      <c r="S11" s="12">
        <v>943458.25962999999</v>
      </c>
      <c r="T11" s="12">
        <v>929348.64642000012</v>
      </c>
      <c r="U11" s="12">
        <f>+[1]balance!$M$9/1000</f>
        <v>877425.83456999995</v>
      </c>
      <c r="V11" s="12">
        <v>859821.1058100001</v>
      </c>
      <c r="W11" s="12">
        <v>802</v>
      </c>
      <c r="X11" s="12"/>
      <c r="Y11" s="12">
        <f t="shared" si="0"/>
        <v>860623.1058100001</v>
      </c>
      <c r="Z11" s="12">
        <v>824977.27737999987</v>
      </c>
      <c r="AA11" s="12">
        <f>+[2]balance!$L$9/1000</f>
        <v>826751.75917999982</v>
      </c>
      <c r="AB11" s="12">
        <f>+[3]balance!$L$9/1000</f>
        <v>767255.39512</v>
      </c>
      <c r="AC11" s="12">
        <f>+[4]balance!$L$9/1000</f>
        <v>754929.97567999992</v>
      </c>
      <c r="AD11" s="12">
        <f>+[5]balance!$L$9/1000</f>
        <v>917903.62209000019</v>
      </c>
      <c r="AE11" s="12">
        <f>+[8]balance!$M$9/1000</f>
        <v>896418.16990999994</v>
      </c>
      <c r="AF11" s="12">
        <f>+[7]balance!$M$9/1000</f>
        <v>1007003.3587999999</v>
      </c>
      <c r="AG11" s="12">
        <v>436</v>
      </c>
      <c r="AH11" s="12"/>
      <c r="AI11" s="12">
        <f t="shared" si="1"/>
        <v>1007439.3587999999</v>
      </c>
    </row>
    <row r="12" spans="1:38" x14ac:dyDescent="0.25">
      <c r="B12" s="10" t="s">
        <v>41</v>
      </c>
      <c r="C12" s="11"/>
      <c r="D12" s="12"/>
      <c r="E12" s="12"/>
      <c r="F12" s="12"/>
      <c r="G12" s="11"/>
      <c r="H12" s="11"/>
      <c r="I12" s="12"/>
      <c r="J12" s="12"/>
      <c r="K12" s="12">
        <v>3000000</v>
      </c>
      <c r="L12" s="58">
        <v>3000000</v>
      </c>
      <c r="M12" s="58">
        <v>3000000</v>
      </c>
      <c r="N12" s="58">
        <v>3000000</v>
      </c>
      <c r="O12" s="58">
        <v>3000000</v>
      </c>
      <c r="P12" s="58">
        <v>3000000</v>
      </c>
      <c r="Q12" s="58">
        <v>3000000</v>
      </c>
      <c r="R12" s="58">
        <v>3000000</v>
      </c>
      <c r="S12" s="58">
        <v>3000000</v>
      </c>
      <c r="T12" s="12">
        <v>1193660</v>
      </c>
      <c r="U12" s="12">
        <f>+[1]balance!$M$8/1000</f>
        <v>1193660</v>
      </c>
      <c r="V12" s="12">
        <v>1220000</v>
      </c>
      <c r="W12" s="12"/>
      <c r="X12" s="12"/>
      <c r="Y12" s="12">
        <f t="shared" si="0"/>
        <v>1220000</v>
      </c>
      <c r="Z12" s="12">
        <v>1220000</v>
      </c>
      <c r="AA12" s="12">
        <f>+[2]balance!$L$8/1000</f>
        <v>1220000</v>
      </c>
      <c r="AB12" s="12">
        <f>+[3]balance!$L$8/1000</f>
        <v>1220000</v>
      </c>
      <c r="AC12" s="12">
        <f>+[4]balance!$L$8/1000</f>
        <v>1220000</v>
      </c>
      <c r="AD12" s="12">
        <f>+[5]balance!$L$8/1000</f>
        <v>1220000</v>
      </c>
      <c r="AE12" s="12">
        <f>+[8]balance!$M$8/1000</f>
        <v>2620000</v>
      </c>
      <c r="AF12" s="12">
        <f>+[7]balance!$M$8/1000</f>
        <v>2620000</v>
      </c>
      <c r="AG12" s="12"/>
      <c r="AH12" s="12"/>
      <c r="AI12" s="12">
        <f t="shared" si="1"/>
        <v>2620000</v>
      </c>
    </row>
    <row r="13" spans="1:38" x14ac:dyDescent="0.25">
      <c r="B13" s="10" t="s">
        <v>42</v>
      </c>
      <c r="C13" s="11"/>
      <c r="D13" s="12"/>
      <c r="E13" s="12"/>
      <c r="F13" s="12"/>
      <c r="G13" s="11"/>
      <c r="H13" s="11">
        <v>29350</v>
      </c>
      <c r="I13" s="12">
        <v>29735.855440000003</v>
      </c>
      <c r="J13" s="12">
        <v>29735.855440000003</v>
      </c>
      <c r="K13" s="12">
        <v>17560.752359999999</v>
      </c>
      <c r="L13" s="12">
        <v>17561</v>
      </c>
      <c r="M13" s="12">
        <v>17560.752360000002</v>
      </c>
      <c r="N13" s="12">
        <v>19014.752360000002</v>
      </c>
      <c r="O13" s="12">
        <v>19014.752360000002</v>
      </c>
      <c r="P13" s="12">
        <v>19014.752359999999</v>
      </c>
      <c r="Q13" s="12">
        <v>13987.733060000002</v>
      </c>
      <c r="R13" s="12">
        <v>13987.733060000002</v>
      </c>
      <c r="S13" s="12">
        <v>13987.733060000002</v>
      </c>
      <c r="T13" s="12">
        <v>14689.99964</v>
      </c>
      <c r="U13" s="12">
        <f>+[1]balance!$M$10/1000</f>
        <v>14354</v>
      </c>
      <c r="V13" s="12">
        <v>14216.5</v>
      </c>
      <c r="W13" s="12">
        <v>906</v>
      </c>
      <c r="X13" s="12"/>
      <c r="Y13" s="12">
        <f t="shared" si="0"/>
        <v>15122.5</v>
      </c>
      <c r="Z13" s="12">
        <v>13877.333330000001</v>
      </c>
      <c r="AA13" s="12">
        <f>+[2]balance!$L$10/1000</f>
        <v>19969.63233</v>
      </c>
      <c r="AB13" s="12">
        <f>+[3]balance!$L$10/1000</f>
        <v>18519.749170000003</v>
      </c>
      <c r="AC13" s="12">
        <f>+[4]balance!$L$10/1000</f>
        <v>17867.224249999999</v>
      </c>
      <c r="AD13" s="12">
        <f>+[5]balance!$L$10/1000</f>
        <v>17214.699330000003</v>
      </c>
      <c r="AE13" s="12">
        <f>+[8]balance!$M$10/1000</f>
        <v>16562.174420000003</v>
      </c>
      <c r="AF13" s="12">
        <f>+[7]balance!$M$10/1000</f>
        <v>15257.124580000002</v>
      </c>
      <c r="AG13" s="12">
        <v>816</v>
      </c>
      <c r="AH13" s="12"/>
      <c r="AI13" s="12">
        <f t="shared" si="1"/>
        <v>16073.124580000002</v>
      </c>
      <c r="AJ13" s="60">
        <v>1.5672766415500501</v>
      </c>
    </row>
    <row r="14" spans="1:38" x14ac:dyDescent="0.25">
      <c r="B14" s="10" t="s">
        <v>43</v>
      </c>
      <c r="C14" s="11"/>
      <c r="D14" s="12"/>
      <c r="E14" s="12"/>
      <c r="F14" s="12"/>
      <c r="G14" s="11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>
        <f>+[1]balance!$M$11/1000</f>
        <v>23233.40885</v>
      </c>
      <c r="V14" s="12">
        <v>86908.847999999998</v>
      </c>
      <c r="W14" s="12">
        <v>2629125</v>
      </c>
      <c r="X14" s="12">
        <f>-W14</f>
        <v>-2629125</v>
      </c>
      <c r="Y14" s="12">
        <f t="shared" si="0"/>
        <v>86908.848000000231</v>
      </c>
      <c r="Z14" s="12">
        <v>49241.975290000002</v>
      </c>
      <c r="AA14" s="12">
        <f>+[2]balance!$L$11/1000</f>
        <v>52718.368019999994</v>
      </c>
      <c r="AB14" s="12">
        <f>+[3]balance!$L$11/1000</f>
        <v>48063.337500000001</v>
      </c>
      <c r="AC14" s="12">
        <f>+[4]balance!$L$11/1000</f>
        <v>55422.605370000005</v>
      </c>
      <c r="AD14" s="12">
        <f>+[5]balance!$L$11/1000</f>
        <v>86181.330099999992</v>
      </c>
      <c r="AE14" s="12">
        <f>+[8]balance!$M$11/1000</f>
        <v>92220.840150000004</v>
      </c>
      <c r="AF14" s="12">
        <f>+[7]balance!$M$11/1000</f>
        <v>117389.39911</v>
      </c>
      <c r="AG14" s="12">
        <v>3154950</v>
      </c>
      <c r="AH14" s="12">
        <v>-3154950</v>
      </c>
      <c r="AI14" s="12">
        <f t="shared" si="1"/>
        <v>117389.39911000011</v>
      </c>
      <c r="AJ14" s="58">
        <f>+AG14/3</f>
        <v>1051650</v>
      </c>
      <c r="AK14" s="60">
        <f>+AJ13*AJ14</f>
        <v>1648226.4800861101</v>
      </c>
      <c r="AL14" s="159">
        <f>+AJ13*AJ14</f>
        <v>1648226.4800861101</v>
      </c>
    </row>
    <row r="15" spans="1:38" x14ac:dyDescent="0.25">
      <c r="B15" s="10" t="s">
        <v>44</v>
      </c>
      <c r="C15" s="11">
        <v>20779327</v>
      </c>
      <c r="D15" s="12">
        <v>24280263.66525</v>
      </c>
      <c r="E15" s="12">
        <v>24280263.66525</v>
      </c>
      <c r="F15" s="12">
        <v>24305263.66525</v>
      </c>
      <c r="G15" s="11">
        <v>24305703.66525</v>
      </c>
      <c r="H15" s="11">
        <v>28462635.016249999</v>
      </c>
      <c r="I15" s="12">
        <v>29588732.258780003</v>
      </c>
      <c r="J15" s="12">
        <v>29582622.84378</v>
      </c>
      <c r="K15" s="12">
        <f>25764374.16703-202705.826</f>
        <v>25561668.341029998</v>
      </c>
      <c r="L15" s="12">
        <v>25764369</v>
      </c>
      <c r="M15" s="12">
        <v>26058117.917029999</v>
      </c>
      <c r="N15" s="12">
        <f>27186642.00637-0.6</f>
        <v>27186641.406369999</v>
      </c>
      <c r="O15" s="12">
        <v>27502837.388380002</v>
      </c>
      <c r="P15" s="12">
        <v>28492114.34911</v>
      </c>
      <c r="Q15" s="12">
        <v>28483766.24611</v>
      </c>
      <c r="R15" s="12">
        <v>28483766.24611</v>
      </c>
      <c r="S15" s="12">
        <v>28483766.24611</v>
      </c>
      <c r="T15" s="12">
        <v>29222920.135029998</v>
      </c>
      <c r="U15" s="12">
        <f>+[1]balance!$M$12/1000</f>
        <v>36209896.095289998</v>
      </c>
      <c r="V15" s="12">
        <v>39033912.650899999</v>
      </c>
      <c r="W15" s="12">
        <v>30000</v>
      </c>
      <c r="X15" s="12">
        <v>-295470.30800000002</v>
      </c>
      <c r="Y15" s="12">
        <f t="shared" si="0"/>
        <v>38768442.342900001</v>
      </c>
      <c r="Z15" s="12">
        <v>41093727.427449994</v>
      </c>
      <c r="AA15" s="12">
        <f>+[2]balance!$L$12/1000</f>
        <v>40685759.8574</v>
      </c>
      <c r="AB15" s="12">
        <f>+[3]balance!$L$12/1000</f>
        <v>40928492.317400001</v>
      </c>
      <c r="AC15" s="12">
        <f>+[4]balance!$L$12/1000</f>
        <v>39276294.453199998</v>
      </c>
      <c r="AD15" s="12">
        <f>+[5]balance!$L$12/1000</f>
        <v>39429752.937399998</v>
      </c>
      <c r="AE15" s="12">
        <f>+[8]balance!$M$12/1000</f>
        <v>40130413.56899</v>
      </c>
      <c r="AF15" s="12">
        <f>+[7]balance!$M$12/1000</f>
        <v>40121144.846390001</v>
      </c>
      <c r="AG15" s="12">
        <v>30000</v>
      </c>
      <c r="AH15" s="12">
        <v>-16110</v>
      </c>
      <c r="AI15" s="12">
        <f t="shared" si="1"/>
        <v>40135034.846390001</v>
      </c>
      <c r="AJ15" s="58">
        <v>1602164</v>
      </c>
      <c r="AK15" s="60">
        <f>+AJ13*AJ15</f>
        <v>2511034.2131323945</v>
      </c>
      <c r="AL15" s="159">
        <f>+AJ13*AJ15</f>
        <v>2511034.2131323945</v>
      </c>
    </row>
    <row r="16" spans="1:38" s="63" customFormat="1" x14ac:dyDescent="0.3">
      <c r="B16" s="13" t="s">
        <v>45</v>
      </c>
      <c r="C16" s="5">
        <f>SUM(C7:C15)</f>
        <v>39895285.506303199</v>
      </c>
      <c r="D16" s="5">
        <f t="shared" ref="D16:J16" si="2">SUM(D7:D15)</f>
        <v>35645063.095232897</v>
      </c>
      <c r="E16" s="5">
        <f t="shared" si="2"/>
        <v>35569488.230102398</v>
      </c>
      <c r="F16" s="5">
        <f t="shared" si="2"/>
        <v>35400328.004683301</v>
      </c>
      <c r="G16" s="5">
        <f t="shared" si="2"/>
        <v>35141507.324024796</v>
      </c>
      <c r="H16" s="5">
        <f t="shared" si="2"/>
        <v>36909974.5065054</v>
      </c>
      <c r="I16" s="5">
        <f t="shared" si="2"/>
        <v>37161481.279692203</v>
      </c>
      <c r="J16" s="5">
        <f t="shared" si="2"/>
        <v>37483042.433244899</v>
      </c>
      <c r="K16" s="5">
        <f>SUM(K7:K15)</f>
        <v>39392368.555402897</v>
      </c>
      <c r="L16" s="5">
        <f t="shared" ref="L16:AI16" si="3">SUM(L7:L15)</f>
        <v>39512661</v>
      </c>
      <c r="M16" s="5">
        <f t="shared" si="3"/>
        <v>39065811.631883234</v>
      </c>
      <c r="N16" s="5">
        <f t="shared" si="3"/>
        <v>41717137.830192</v>
      </c>
      <c r="O16" s="5">
        <f t="shared" si="3"/>
        <v>40887155.946391404</v>
      </c>
      <c r="P16" s="5">
        <f t="shared" si="3"/>
        <v>40743360.211358994</v>
      </c>
      <c r="Q16" s="5">
        <f t="shared" si="3"/>
        <v>41195349.297580503</v>
      </c>
      <c r="R16" s="5">
        <f t="shared" si="3"/>
        <v>41465151.134715334</v>
      </c>
      <c r="S16" s="5">
        <f t="shared" si="3"/>
        <v>41223769.2485025</v>
      </c>
      <c r="T16" s="5">
        <f t="shared" si="3"/>
        <v>41563630.297815695</v>
      </c>
      <c r="U16" s="5">
        <f t="shared" si="3"/>
        <v>48595288.361509994</v>
      </c>
      <c r="V16" s="5">
        <f t="shared" ref="V16" si="4">SUM(V7:V15)</f>
        <v>49656326.347259998</v>
      </c>
      <c r="W16" s="5">
        <f t="shared" si="3"/>
        <v>2712016</v>
      </c>
      <c r="X16" s="5">
        <f t="shared" si="3"/>
        <v>-2978292.3080000002</v>
      </c>
      <c r="Y16" s="5">
        <f t="shared" si="3"/>
        <v>49390050.03926</v>
      </c>
      <c r="Z16" s="5">
        <f t="shared" si="3"/>
        <v>50965932.521969996</v>
      </c>
      <c r="AA16" s="5">
        <f t="shared" si="3"/>
        <v>51911676.018780001</v>
      </c>
      <c r="AB16" s="5">
        <f t="shared" si="3"/>
        <v>51867231.988310002</v>
      </c>
      <c r="AC16" s="5">
        <f t="shared" si="3"/>
        <v>53004048.038139999</v>
      </c>
      <c r="AD16" s="5">
        <f t="shared" si="3"/>
        <v>53330947.319360003</v>
      </c>
      <c r="AE16" s="5">
        <f t="shared" si="3"/>
        <v>54634530.572310001</v>
      </c>
      <c r="AF16" s="5">
        <f t="shared" si="3"/>
        <v>54759730.232330002</v>
      </c>
      <c r="AG16" s="5">
        <f t="shared" si="3"/>
        <v>3210456</v>
      </c>
      <c r="AH16" s="5">
        <f t="shared" si="3"/>
        <v>-3194359</v>
      </c>
      <c r="AI16" s="5">
        <f t="shared" si="3"/>
        <v>54775827.232330002</v>
      </c>
      <c r="AJ16" s="147"/>
      <c r="AK16" s="147">
        <f>+V27</f>
        <v>-160216</v>
      </c>
      <c r="AL16" s="160">
        <f>+V27</f>
        <v>-160216</v>
      </c>
    </row>
    <row r="17" spans="2:39" x14ac:dyDescent="0.25">
      <c r="B17" s="10" t="s">
        <v>46</v>
      </c>
      <c r="C17" s="11">
        <v>5317265.3001600001</v>
      </c>
      <c r="D17" s="12">
        <v>74737.153579999984</v>
      </c>
      <c r="E17" s="12">
        <v>81438.466670000023</v>
      </c>
      <c r="F17" s="12">
        <v>52093.149260000107</v>
      </c>
      <c r="G17" s="11">
        <v>26482.593900000007</v>
      </c>
      <c r="H17" s="11">
        <v>1642798.1910400004</v>
      </c>
      <c r="I17" s="12">
        <v>1468876.5879600004</v>
      </c>
      <c r="J17" s="12">
        <v>1434049.4500000002</v>
      </c>
      <c r="K17" s="12">
        <f>58651.706+29206.696+61.107</f>
        <v>87919.509000000005</v>
      </c>
      <c r="L17" s="12">
        <v>665008</v>
      </c>
      <c r="M17" s="12">
        <v>300162.03392999998</v>
      </c>
      <c r="N17" s="12">
        <v>500256.26977600006</v>
      </c>
      <c r="O17" s="12">
        <v>257120.79053808225</v>
      </c>
      <c r="P17" s="12">
        <v>154856.06354999999</v>
      </c>
      <c r="Q17" s="12">
        <v>264265.39112000004</v>
      </c>
      <c r="R17" s="12">
        <v>291612.35550000001</v>
      </c>
      <c r="S17" s="12">
        <v>223944.59178999995</v>
      </c>
      <c r="T17" s="12">
        <v>465111.16008319997</v>
      </c>
      <c r="U17" s="12">
        <f>+[1]balance!$M$14/1000+[1]balance!$M$15/1000</f>
        <v>254076.02199000001</v>
      </c>
      <c r="V17" s="12">
        <v>1230993.3703399999</v>
      </c>
      <c r="W17" s="12">
        <f>112732+791</f>
        <v>113523</v>
      </c>
      <c r="X17" s="12">
        <f>-42757-10940</f>
        <v>-53697</v>
      </c>
      <c r="Y17" s="12">
        <f>+V17+W17+X17</f>
        <v>1290819.3703399999</v>
      </c>
      <c r="Z17" s="12">
        <v>431280.65905999998</v>
      </c>
      <c r="AA17" s="12">
        <f>+[2]balance!$L$14/1000+[2]balance!$L$15/1000</f>
        <v>321009.03719000006</v>
      </c>
      <c r="AB17" s="12">
        <f>+[3]balance!$L$14/1000+[3]balance!$L$15/1000</f>
        <v>270428.47104999999</v>
      </c>
      <c r="AC17" s="12">
        <f>+[4]balance!$L$14/1000+[4]balance!$L$15/1000</f>
        <v>164522.87224</v>
      </c>
      <c r="AD17" s="12">
        <f>+[5]balance!$L$14/1000+[5]balance!$L$15/1000</f>
        <v>39600.697520000002</v>
      </c>
      <c r="AE17" s="12">
        <f>+[8]balance!$M$14/1000+[8]balance!$M$15/1000</f>
        <v>171440.17511999997</v>
      </c>
      <c r="AF17" s="12">
        <f>+[7]balance!$M$14/1000+[7]balance!$M$15/1000</f>
        <v>101646.37012000001</v>
      </c>
      <c r="AG17" s="12">
        <f>104962+110</f>
        <v>105072</v>
      </c>
      <c r="AH17" s="12">
        <v>-23299</v>
      </c>
      <c r="AI17" s="12">
        <f>+AF17+AG17+AH17</f>
        <v>183419.37012000001</v>
      </c>
      <c r="AK17" s="58">
        <f>SUM(AK14:AK16)</f>
        <v>3999044.6932185045</v>
      </c>
      <c r="AL17" s="159">
        <f>SUM(AL14:AL16)</f>
        <v>3999044.6932185045</v>
      </c>
    </row>
    <row r="18" spans="2:39" x14ac:dyDescent="0.25">
      <c r="B18" s="10" t="s">
        <v>47</v>
      </c>
      <c r="C18" s="11">
        <v>527504</v>
      </c>
      <c r="D18" s="12">
        <v>862701.94909999997</v>
      </c>
      <c r="E18" s="12">
        <v>864896.3557999999</v>
      </c>
      <c r="F18" s="12">
        <v>877896.3557999999</v>
      </c>
      <c r="G18" s="11">
        <v>903640.81660000002</v>
      </c>
      <c r="H18" s="11">
        <v>662130.13698000007</v>
      </c>
      <c r="I18" s="12">
        <v>1210000</v>
      </c>
      <c r="J18" s="12">
        <v>1180000</v>
      </c>
      <c r="K18" s="12">
        <v>742334.7</v>
      </c>
      <c r="L18" s="12">
        <v>841333.5</v>
      </c>
      <c r="M18" s="12">
        <v>1257083.4182</v>
      </c>
      <c r="N18" s="12">
        <v>2262918.1039999998</v>
      </c>
      <c r="O18" s="12">
        <v>2241918.1039999998</v>
      </c>
      <c r="P18" s="12">
        <v>2098918.1039999998</v>
      </c>
      <c r="Q18" s="12">
        <v>2023452.2339999999</v>
      </c>
      <c r="R18" s="12">
        <v>2245452.2340000002</v>
      </c>
      <c r="S18" s="12">
        <v>2233353.8782600001</v>
      </c>
      <c r="T18" s="12">
        <v>2496976.7492600004</v>
      </c>
      <c r="U18" s="12">
        <f>+[1]balance!$M$20/1000</f>
        <v>35353.879260000002</v>
      </c>
      <c r="V18" s="12">
        <v>1080072.8500000001</v>
      </c>
      <c r="W18" s="12"/>
      <c r="X18" s="12"/>
      <c r="Y18" s="12">
        <f t="shared" ref="Y18:Y23" si="5">+V18+W18+X18</f>
        <v>1080072.8500000001</v>
      </c>
      <c r="Z18" s="12">
        <v>1076782.6499999999</v>
      </c>
      <c r="AA18" s="12">
        <f>+[2]balance!$L$20/1000</f>
        <v>1213504.6905700001</v>
      </c>
      <c r="AB18" s="12">
        <f>+[3]balance!$L$20/1000</f>
        <v>1242770.9546100001</v>
      </c>
      <c r="AC18" s="12">
        <f>+[4]balance!$L$20/1000</f>
        <v>2008511.3865799999</v>
      </c>
      <c r="AD18" s="12">
        <f>+[5]balance!$L$20/1000</f>
        <v>1809851.0570399999</v>
      </c>
      <c r="AE18" s="12">
        <f>+[8]balance!$M$20/1000</f>
        <v>1856588.7696400001</v>
      </c>
      <c r="AF18" s="12">
        <f>+[7]balance!$M$20/1000</f>
        <v>1869139.3416300002</v>
      </c>
      <c r="AG18" s="12"/>
      <c r="AH18" s="12"/>
      <c r="AI18" s="12">
        <f t="shared" ref="AI18:AI23" si="6">+AF18+AG18+AH18</f>
        <v>1869139.3416300002</v>
      </c>
      <c r="AK18" s="58">
        <v>159026</v>
      </c>
      <c r="AL18" s="159">
        <v>10000</v>
      </c>
      <c r="AM18" s="167">
        <f>+AK18-AL18</f>
        <v>149026</v>
      </c>
    </row>
    <row r="19" spans="2:39" x14ac:dyDescent="0.25">
      <c r="B19" s="10" t="s">
        <v>48</v>
      </c>
      <c r="C19" s="11">
        <v>44416</v>
      </c>
      <c r="D19" s="12">
        <v>148471.36197000003</v>
      </c>
      <c r="E19" s="12">
        <v>142563.25106000001</v>
      </c>
      <c r="F19" s="12">
        <v>141098.32048999998</v>
      </c>
      <c r="G19" s="11">
        <v>99698.141199999998</v>
      </c>
      <c r="H19" s="11">
        <v>41953.85</v>
      </c>
      <c r="I19" s="12">
        <v>201413.71821000002</v>
      </c>
      <c r="J19" s="12">
        <v>202884.56907000003</v>
      </c>
      <c r="K19" s="12">
        <f>134472.459006536-49899</f>
        <v>84573.459006535995</v>
      </c>
      <c r="L19" s="12">
        <v>90000</v>
      </c>
      <c r="M19" s="12">
        <v>96027.252582000001</v>
      </c>
      <c r="N19" s="12">
        <v>30583.150890000001</v>
      </c>
      <c r="O19" s="12">
        <v>44312.296782570891</v>
      </c>
      <c r="P19" s="12">
        <v>45616.800445000001</v>
      </c>
      <c r="Q19" s="12">
        <v>66960.776258000013</v>
      </c>
      <c r="R19" s="12">
        <v>64355.742920793324</v>
      </c>
      <c r="S19" s="12">
        <v>57769.797424000011</v>
      </c>
      <c r="T19" s="12">
        <v>52185.932747999999</v>
      </c>
      <c r="U19" s="12">
        <f>+[1]balance!$M$16/1000</f>
        <v>69188.789680000002</v>
      </c>
      <c r="V19" s="12">
        <v>67354.366779999997</v>
      </c>
      <c r="W19" s="12">
        <v>54</v>
      </c>
      <c r="X19" s="12"/>
      <c r="Y19" s="12">
        <f t="shared" si="5"/>
        <v>67408.366779999997</v>
      </c>
      <c r="Z19" s="12">
        <v>8775.3627600000018</v>
      </c>
      <c r="AA19" s="12">
        <f>+[2]balance!$L$16/1000</f>
        <v>74918.271189999999</v>
      </c>
      <c r="AB19" s="12">
        <f>+[3]balance!$L$16/1000</f>
        <v>44388.520149999997</v>
      </c>
      <c r="AC19" s="12">
        <f>+[4]balance!$L$16/1000</f>
        <v>56820.339359999998</v>
      </c>
      <c r="AD19" s="12">
        <f>+[5]balance!$L$16/1000</f>
        <v>106633.52141</v>
      </c>
      <c r="AE19" s="12">
        <f>+[8]balance!$M$16/1000</f>
        <v>104628.35548</v>
      </c>
      <c r="AF19" s="12">
        <f>+[7]balance!$M$16/1000</f>
        <v>22241.107479999999</v>
      </c>
      <c r="AG19" s="12">
        <v>635</v>
      </c>
      <c r="AH19" s="12"/>
      <c r="AI19" s="12">
        <f t="shared" si="6"/>
        <v>22876.107479999999</v>
      </c>
      <c r="AK19" s="58">
        <f>SUM(AK17:AK18)</f>
        <v>4158070.6932185045</v>
      </c>
      <c r="AL19" s="159">
        <f>SUM(AL17:AL18)</f>
        <v>4009044.6932185045</v>
      </c>
    </row>
    <row r="20" spans="2:39" x14ac:dyDescent="0.25">
      <c r="B20" s="10" t="s">
        <v>49</v>
      </c>
      <c r="C20" s="11"/>
      <c r="D20" s="12"/>
      <c r="E20" s="12"/>
      <c r="F20" s="12"/>
      <c r="G20" s="11"/>
      <c r="H20" s="11"/>
      <c r="I20" s="12"/>
      <c r="J20" s="12"/>
      <c r="K20" s="12">
        <v>0</v>
      </c>
      <c r="L20" s="12"/>
      <c r="M20" s="12"/>
      <c r="N20" s="12"/>
      <c r="O20" s="12"/>
      <c r="P20" s="12"/>
      <c r="Q20" s="12"/>
      <c r="R20" s="12"/>
      <c r="S20" s="12"/>
      <c r="T20" s="12"/>
      <c r="U20" s="12">
        <f>+[1]balance!$M$18/1000</f>
        <v>69412.036999999997</v>
      </c>
      <c r="V20" s="12">
        <v>22032.010999999999</v>
      </c>
      <c r="W20" s="12"/>
      <c r="X20" s="12"/>
      <c r="Y20" s="12">
        <f t="shared" si="5"/>
        <v>22032.010999999999</v>
      </c>
      <c r="Z20" s="12">
        <v>0</v>
      </c>
      <c r="AA20" s="12"/>
      <c r="AB20" s="12"/>
      <c r="AC20" s="12"/>
      <c r="AD20" s="12">
        <f>+[5]balance!$L$18/1000</f>
        <v>210000</v>
      </c>
      <c r="AE20" s="12">
        <f>+[8]balance!$M$18/1000</f>
        <v>160000</v>
      </c>
      <c r="AF20" s="12">
        <f>+[7]balance!$M$18/1000</f>
        <v>249404.13169000001</v>
      </c>
      <c r="AG20" s="12"/>
      <c r="AH20" s="12"/>
      <c r="AI20" s="12">
        <f t="shared" si="6"/>
        <v>249404.13169000001</v>
      </c>
    </row>
    <row r="21" spans="2:39" x14ac:dyDescent="0.25">
      <c r="B21" s="10" t="s">
        <v>50</v>
      </c>
      <c r="C21" s="11"/>
      <c r="D21" s="12"/>
      <c r="E21" s="12"/>
      <c r="F21" s="12"/>
      <c r="G21" s="11"/>
      <c r="H21" s="11"/>
      <c r="I21" s="12"/>
      <c r="J21" s="12"/>
      <c r="K21" s="12">
        <v>679061.94099999999</v>
      </c>
      <c r="L21" s="12"/>
      <c r="M21" s="12"/>
      <c r="N21" s="12"/>
      <c r="O21" s="12"/>
      <c r="P21" s="12"/>
      <c r="Q21" s="12"/>
      <c r="R21" s="12"/>
      <c r="S21" s="12"/>
      <c r="T21" s="12"/>
      <c r="U21" s="12">
        <f>+[1]balance!$M$19/1000</f>
        <v>37935.587469999999</v>
      </c>
      <c r="V21" s="12">
        <v>69726.745719999992</v>
      </c>
      <c r="W21" s="12">
        <v>6</v>
      </c>
      <c r="X21" s="12"/>
      <c r="Y21" s="12">
        <f t="shared" si="5"/>
        <v>69732.745719999992</v>
      </c>
      <c r="Z21" s="12">
        <v>349600.05536</v>
      </c>
      <c r="AA21" s="12">
        <f>+[2]balance!$L$19/1000</f>
        <v>40683.873090000001</v>
      </c>
      <c r="AB21" s="12">
        <f>+[3]balance!$L$19/1000</f>
        <v>38995.260190000001</v>
      </c>
      <c r="AC21" s="12">
        <f>+[4]balance!$L$19/1000</f>
        <v>38618.833879999998</v>
      </c>
      <c r="AD21" s="12">
        <f>+[5]balance!$L$19/1000</f>
        <v>31751.420460000001</v>
      </c>
      <c r="AE21" s="12">
        <f>+[8]balance!$M$19/1000</f>
        <v>32885.007259999998</v>
      </c>
      <c r="AF21" s="12">
        <f>+[7]balance!$M$19/1000</f>
        <v>17314.704300000001</v>
      </c>
      <c r="AG21" s="12">
        <v>342</v>
      </c>
      <c r="AH21" s="12"/>
      <c r="AI21" s="12">
        <f t="shared" si="6"/>
        <v>17656.704300000001</v>
      </c>
    </row>
    <row r="22" spans="2:39" x14ac:dyDescent="0.25">
      <c r="B22" s="10" t="s">
        <v>51</v>
      </c>
      <c r="C22" s="11"/>
      <c r="D22" s="12"/>
      <c r="E22" s="12"/>
      <c r="F22" s="12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>
        <f>+[1]balance!$M$17/1000</f>
        <v>2788473.5781800002</v>
      </c>
      <c r="V22" s="12">
        <v>2781782.4989999998</v>
      </c>
      <c r="W22" s="12"/>
      <c r="X22" s="12"/>
      <c r="Y22" s="12">
        <f t="shared" si="5"/>
        <v>2781782.4989999998</v>
      </c>
      <c r="Z22" s="12">
        <v>2769192.4989999998</v>
      </c>
      <c r="AA22" s="12">
        <f>+[2]balance!$L$17/1000</f>
        <v>2773259.9989999998</v>
      </c>
      <c r="AB22" s="12">
        <f>+[3]balance!$L$17/1000</f>
        <v>2779432.6290100003</v>
      </c>
      <c r="AC22" s="12">
        <f>+[4]balance!$L$17/1000</f>
        <v>3219511.6690100003</v>
      </c>
      <c r="AD22" s="12">
        <f>+[5]balance!$L$17/1000</f>
        <v>3828937.2090100003</v>
      </c>
      <c r="AE22" s="12">
        <f>+[8]balance!$M$17/1000</f>
        <v>4311376.1090099998</v>
      </c>
      <c r="AF22" s="12">
        <f>+[7]balance!$M$17/1000</f>
        <v>5163500.0190099999</v>
      </c>
      <c r="AG22" s="12"/>
      <c r="AH22" s="12"/>
      <c r="AI22" s="12">
        <f t="shared" si="6"/>
        <v>5163500.0190099999</v>
      </c>
    </row>
    <row r="23" spans="2:39" x14ac:dyDescent="0.25">
      <c r="B23" s="10" t="s">
        <v>52</v>
      </c>
      <c r="C23" s="11"/>
      <c r="D23" s="12"/>
      <c r="E23" s="12"/>
      <c r="F23" s="12"/>
      <c r="G23" s="11"/>
      <c r="H23" s="11"/>
      <c r="I23" s="12"/>
      <c r="J23" s="12"/>
      <c r="K23" s="12">
        <v>352512</v>
      </c>
      <c r="L23" s="12"/>
      <c r="M23" s="12"/>
      <c r="N23" s="12">
        <f>478265192.04/1000</f>
        <v>478265.19203999999</v>
      </c>
      <c r="O23" s="12">
        <v>478265.19203999999</v>
      </c>
      <c r="P23" s="12">
        <v>478265.19203999999</v>
      </c>
      <c r="Q23" s="12">
        <v>506358.07780999999</v>
      </c>
      <c r="R23" s="12">
        <v>506358.07780999999</v>
      </c>
      <c r="S23" s="12">
        <v>506358.07780999999</v>
      </c>
      <c r="T23" s="12">
        <v>476387.53980000003</v>
      </c>
      <c r="U23" s="12">
        <f>+[1]balance!$M$21/1000</f>
        <v>1173817.5466700001</v>
      </c>
      <c r="V23" s="12">
        <v>1292210.5260000001</v>
      </c>
      <c r="W23" s="12">
        <v>102561</v>
      </c>
      <c r="X23" s="12">
        <f>-102561-'JIV-'!G6/1000</f>
        <v>-114778.0144156</v>
      </c>
      <c r="Y23" s="12">
        <f t="shared" si="5"/>
        <v>1279993.5115844</v>
      </c>
      <c r="Z23" s="12">
        <v>1510153.4143599998</v>
      </c>
      <c r="AA23" s="12">
        <f>+[2]balance!$L$21/1000</f>
        <v>1468087.9564</v>
      </c>
      <c r="AB23" s="12">
        <f>+[3]balance!$L$21/1000</f>
        <v>1491361.2024000001</v>
      </c>
      <c r="AC23" s="12">
        <f>+[4]balance!$L$21/1000</f>
        <v>1364983.16432</v>
      </c>
      <c r="AD23" s="12">
        <f>+[5]balance!$L$21/1000</f>
        <v>1380329.0127399999</v>
      </c>
      <c r="AE23" s="12">
        <f>+[8]balance!$M$21/1000</f>
        <v>1430860.61094</v>
      </c>
      <c r="AF23" s="12">
        <f>+[7]balance!$M$21/1000</f>
        <v>1428103.2747899999</v>
      </c>
      <c r="AG23" s="12">
        <v>155143</v>
      </c>
      <c r="AH23" s="12">
        <f>-155143-'JIV-'!H24/1000</f>
        <v>-155506.90633560001</v>
      </c>
      <c r="AI23" s="12">
        <f t="shared" si="6"/>
        <v>1427739.3684544</v>
      </c>
    </row>
    <row r="24" spans="2:39" x14ac:dyDescent="0.25">
      <c r="B24" s="15" t="s">
        <v>53</v>
      </c>
      <c r="C24" s="16">
        <f>SUM(C17:C23)</f>
        <v>5889185.3001600001</v>
      </c>
      <c r="D24" s="17">
        <f>SUM(D17:D19)</f>
        <v>1085910.46465</v>
      </c>
      <c r="E24" s="17">
        <f>SUM(E17:E19)</f>
        <v>1088898.0735299999</v>
      </c>
      <c r="F24" s="17">
        <f t="shared" ref="F24:Y24" si="7">SUM(F17:F23)</f>
        <v>1071087.82555</v>
      </c>
      <c r="G24" s="17">
        <f t="shared" si="7"/>
        <v>1029821.5517</v>
      </c>
      <c r="H24" s="17">
        <f t="shared" si="7"/>
        <v>2346882.1780200005</v>
      </c>
      <c r="I24" s="17">
        <f t="shared" si="7"/>
        <v>2880290.3061700002</v>
      </c>
      <c r="J24" s="17">
        <f t="shared" si="7"/>
        <v>2816934.0190700004</v>
      </c>
      <c r="K24" s="17">
        <f t="shared" si="7"/>
        <v>1946401.6090065357</v>
      </c>
      <c r="L24" s="17">
        <f t="shared" si="7"/>
        <v>1596341.5</v>
      </c>
      <c r="M24" s="17">
        <f t="shared" si="7"/>
        <v>1653272.704712</v>
      </c>
      <c r="N24" s="17">
        <f t="shared" si="7"/>
        <v>3272022.7167060003</v>
      </c>
      <c r="O24" s="17">
        <f t="shared" si="7"/>
        <v>3021616.3833606532</v>
      </c>
      <c r="P24" s="17">
        <f t="shared" si="7"/>
        <v>2777656.1600350002</v>
      </c>
      <c r="Q24" s="17">
        <f t="shared" si="7"/>
        <v>2861036.4791880003</v>
      </c>
      <c r="R24" s="17">
        <f t="shared" si="7"/>
        <v>3107778.4102307935</v>
      </c>
      <c r="S24" s="17">
        <f t="shared" si="7"/>
        <v>3021426.3452840005</v>
      </c>
      <c r="T24" s="17">
        <f t="shared" si="7"/>
        <v>3490661.3818912003</v>
      </c>
      <c r="U24" s="17">
        <f t="shared" si="7"/>
        <v>4428257.44025</v>
      </c>
      <c r="V24" s="17">
        <f t="shared" ref="V24" si="8">SUM(V17:V23)</f>
        <v>6544172.3688399997</v>
      </c>
      <c r="W24" s="17">
        <f t="shared" si="7"/>
        <v>216144</v>
      </c>
      <c r="X24" s="17">
        <f t="shared" si="7"/>
        <v>-168475.01441559999</v>
      </c>
      <c r="Y24" s="17">
        <f t="shared" si="7"/>
        <v>6591841.3544243993</v>
      </c>
      <c r="Z24" s="17">
        <f t="shared" ref="Z24:AI24" si="9">SUM(Z17:Z23)</f>
        <v>6145784.6405400001</v>
      </c>
      <c r="AA24" s="17">
        <f t="shared" si="9"/>
        <v>5891463.8274399992</v>
      </c>
      <c r="AB24" s="17">
        <f t="shared" si="9"/>
        <v>5867377.0374100003</v>
      </c>
      <c r="AC24" s="17">
        <f t="shared" si="9"/>
        <v>6852968.2653899994</v>
      </c>
      <c r="AD24" s="17">
        <f t="shared" si="9"/>
        <v>7407102.918180001</v>
      </c>
      <c r="AE24" s="17">
        <f t="shared" si="9"/>
        <v>8067779.0274499999</v>
      </c>
      <c r="AF24" s="17">
        <f t="shared" si="9"/>
        <v>8851348.9490200002</v>
      </c>
      <c r="AG24" s="17">
        <f t="shared" si="9"/>
        <v>261192</v>
      </c>
      <c r="AH24" s="17">
        <f t="shared" si="9"/>
        <v>-178805.90633560001</v>
      </c>
      <c r="AI24" s="17">
        <f t="shared" si="9"/>
        <v>8933735.0426844005</v>
      </c>
    </row>
    <row r="25" spans="2:39" s="64" customFormat="1" x14ac:dyDescent="0.3">
      <c r="B25" s="18" t="s">
        <v>54</v>
      </c>
      <c r="C25" s="19">
        <f t="shared" ref="C25:T25" si="10">C26+C28+C29+C30</f>
        <v>23363052.708559997</v>
      </c>
      <c r="D25" s="19">
        <f t="shared" si="10"/>
        <v>19084571.710999999</v>
      </c>
      <c r="E25" s="19">
        <f t="shared" si="10"/>
        <v>19129579.318</v>
      </c>
      <c r="F25" s="19">
        <f t="shared" si="10"/>
        <v>19129139.318</v>
      </c>
      <c r="G25" s="19">
        <f t="shared" si="10"/>
        <v>19167327.318</v>
      </c>
      <c r="H25" s="19">
        <f t="shared" si="10"/>
        <v>19365194.976</v>
      </c>
      <c r="I25" s="19">
        <f t="shared" si="10"/>
        <v>19357212.600000001</v>
      </c>
      <c r="J25" s="19">
        <f t="shared" si="10"/>
        <v>19277390.251000002</v>
      </c>
      <c r="K25" s="19">
        <f t="shared" si="10"/>
        <v>20595804.618840002</v>
      </c>
      <c r="L25" s="19">
        <f t="shared" si="10"/>
        <v>21151022.115559999</v>
      </c>
      <c r="M25" s="19">
        <f t="shared" si="10"/>
        <v>21151022.145599999</v>
      </c>
      <c r="N25" s="19">
        <f t="shared" si="10"/>
        <v>21727588.282909997</v>
      </c>
      <c r="O25" s="19">
        <f t="shared" si="10"/>
        <v>21727587.282909997</v>
      </c>
      <c r="P25" s="19">
        <f t="shared" si="10"/>
        <v>21716864.243639998</v>
      </c>
      <c r="Q25" s="19">
        <f t="shared" si="10"/>
        <v>21980423.254869998</v>
      </c>
      <c r="R25" s="19">
        <f t="shared" si="10"/>
        <v>21980423.254869998</v>
      </c>
      <c r="S25" s="19">
        <f t="shared" si="10"/>
        <v>21980423.254869998</v>
      </c>
      <c r="T25" s="19">
        <f t="shared" si="10"/>
        <v>21710688.412799999</v>
      </c>
      <c r="U25" s="19">
        <f t="shared" ref="U25" si="11">SUM(U26:U30)</f>
        <v>21761888.55333</v>
      </c>
      <c r="V25" s="19">
        <f>SUM(V26:V30)</f>
        <v>19012517.69954</v>
      </c>
      <c r="W25" s="19">
        <f t="shared" ref="W25:AI25" si="12">SUM(W26:W30)</f>
        <v>2630883</v>
      </c>
      <c r="X25" s="19">
        <f t="shared" si="12"/>
        <v>12417677.161740001</v>
      </c>
      <c r="Y25" s="19">
        <f t="shared" si="12"/>
        <v>34061077.861280002</v>
      </c>
      <c r="Z25" s="19">
        <f t="shared" si="12"/>
        <v>21084714.468909997</v>
      </c>
      <c r="AA25" s="19">
        <f t="shared" si="12"/>
        <v>20709432.01292</v>
      </c>
      <c r="AB25" s="19">
        <f t="shared" si="12"/>
        <v>20918891.226919997</v>
      </c>
      <c r="AC25" s="19">
        <f t="shared" si="12"/>
        <v>19318891.222599998</v>
      </c>
      <c r="AD25" s="19">
        <f t="shared" si="12"/>
        <v>19457003.858379997</v>
      </c>
      <c r="AE25" s="19">
        <f t="shared" si="12"/>
        <v>21015391.775089998</v>
      </c>
      <c r="AF25" s="19">
        <f t="shared" si="12"/>
        <v>20990576.34271</v>
      </c>
      <c r="AG25" s="19">
        <f t="shared" si="12"/>
        <v>3104126</v>
      </c>
      <c r="AH25" s="19">
        <f t="shared" si="12"/>
        <v>12200137.149807097</v>
      </c>
      <c r="AI25" s="19">
        <f t="shared" si="12"/>
        <v>36294839.492517106</v>
      </c>
      <c r="AJ25" s="148"/>
      <c r="AK25" s="148"/>
      <c r="AL25" s="161"/>
    </row>
    <row r="26" spans="2:39" x14ac:dyDescent="0.25">
      <c r="B26" s="10" t="s">
        <v>55</v>
      </c>
      <c r="C26" s="11">
        <v>1879653</v>
      </c>
      <c r="D26" s="12">
        <v>1665938</v>
      </c>
      <c r="E26" s="12">
        <v>1727418.6070000001</v>
      </c>
      <c r="F26" s="12">
        <v>1727418.6070000001</v>
      </c>
      <c r="G26" s="11">
        <v>1727418.6070000001</v>
      </c>
      <c r="H26" s="11">
        <v>1727418.61</v>
      </c>
      <c r="I26" s="12">
        <v>1719436</v>
      </c>
      <c r="J26" s="12">
        <v>1719436.4070000001</v>
      </c>
      <c r="K26" s="12">
        <v>1719436.4070000001</v>
      </c>
      <c r="L26" s="12">
        <v>1719436.4069999999</v>
      </c>
      <c r="M26" s="12">
        <v>1719436.4069999999</v>
      </c>
      <c r="N26" s="12">
        <v>1719436.4069999999</v>
      </c>
      <c r="O26" s="12">
        <v>1719436.4069999999</v>
      </c>
      <c r="P26" s="12">
        <v>1719436.4069999999</v>
      </c>
      <c r="Q26" s="12">
        <v>1719436.4069999999</v>
      </c>
      <c r="R26" s="12">
        <v>1719436.4069999999</v>
      </c>
      <c r="S26" s="12">
        <v>1719436.4069999999</v>
      </c>
      <c r="T26" s="12">
        <v>1719436.4069999999</v>
      </c>
      <c r="U26" s="12">
        <v>1719436.4070000001</v>
      </c>
      <c r="V26" s="12">
        <v>1879653</v>
      </c>
      <c r="W26" s="12">
        <v>1665938</v>
      </c>
      <c r="X26" s="12">
        <v>27579706</v>
      </c>
      <c r="Y26" s="12">
        <f t="shared" ref="Y26:Y30" si="13">+V26+W26+X26</f>
        <v>31125297</v>
      </c>
      <c r="Z26" s="12">
        <v>1719436.4070000001</v>
      </c>
      <c r="AA26" s="12">
        <f>+[2]balance!$G$115/1000-[2]balance!$F$116/1000</f>
        <v>1719436.4070000001</v>
      </c>
      <c r="AB26" s="12">
        <f>+[2]balance!$G$115/1000-[2]balance!$F$116/1000</f>
        <v>1719436.4070000001</v>
      </c>
      <c r="AC26" s="12">
        <f>+[4]balance!$G$116/1000-[4]balance!$F$117/1000</f>
        <v>1719436.4070000001</v>
      </c>
      <c r="AD26" s="12">
        <f>+[4]balance!$G$116/1000-[4]balance!$F$117/1000</f>
        <v>1719436.4070000001</v>
      </c>
      <c r="AE26" s="12">
        <f>+[4]balance!$G$116/1000-[4]balance!$F$117/1000</f>
        <v>1719436.4070000001</v>
      </c>
      <c r="AF26" s="12">
        <v>1879653</v>
      </c>
      <c r="AG26" s="12">
        <v>1665938</v>
      </c>
      <c r="AH26" s="12">
        <v>27579706</v>
      </c>
      <c r="AI26" s="12">
        <f t="shared" ref="AI26:AI30" si="14">+AF26+AG26+AH26</f>
        <v>31125297</v>
      </c>
      <c r="AM26" s="65"/>
    </row>
    <row r="27" spans="2:39" x14ac:dyDescent="0.25">
      <c r="B27" s="10" t="s">
        <v>163</v>
      </c>
      <c r="C27" s="11">
        <v>-160216</v>
      </c>
      <c r="D27" s="12"/>
      <c r="E27" s="12"/>
      <c r="F27" s="12"/>
      <c r="G27" s="11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>
        <v>-160216</v>
      </c>
      <c r="W27" s="12"/>
      <c r="X27" s="12">
        <f>-2350818-1648226-159026</f>
        <v>-4158070</v>
      </c>
      <c r="Y27" s="12">
        <f t="shared" si="13"/>
        <v>-4318286</v>
      </c>
      <c r="Z27" s="12"/>
      <c r="AA27" s="12"/>
      <c r="AB27" s="12"/>
      <c r="AC27" s="12"/>
      <c r="AD27" s="12"/>
      <c r="AE27" s="12"/>
      <c r="AF27" s="12">
        <v>-160216</v>
      </c>
      <c r="AG27" s="12"/>
      <c r="AH27" s="12">
        <f>-AL19</f>
        <v>-4009044.6932185045</v>
      </c>
      <c r="AI27" s="12">
        <f t="shared" si="14"/>
        <v>-4169260.6932185045</v>
      </c>
      <c r="AM27" s="65"/>
    </row>
    <row r="28" spans="2:39" x14ac:dyDescent="0.25">
      <c r="B28" s="10" t="s">
        <v>56</v>
      </c>
      <c r="C28" s="11">
        <v>9929060.7085599992</v>
      </c>
      <c r="D28" s="12">
        <v>9789740.0529999994</v>
      </c>
      <c r="E28" s="12">
        <v>9773267.0529999994</v>
      </c>
      <c r="F28" s="12">
        <v>9772827.0529999994</v>
      </c>
      <c r="G28" s="11">
        <v>9811015.0529999994</v>
      </c>
      <c r="H28" s="11">
        <v>10008882.708000001</v>
      </c>
      <c r="I28" s="12">
        <v>10008883</v>
      </c>
      <c r="J28" s="12">
        <v>9929060.2440000009</v>
      </c>
      <c r="K28" s="12">
        <v>9929060.7085599992</v>
      </c>
      <c r="L28" s="12">
        <v>9929060.7085599992</v>
      </c>
      <c r="M28" s="12">
        <v>9929060.7085599992</v>
      </c>
      <c r="N28" s="12">
        <v>9929060.7085599992</v>
      </c>
      <c r="O28" s="12">
        <v>9929060.7085599992</v>
      </c>
      <c r="P28" s="12">
        <v>9929060.7085599992</v>
      </c>
      <c r="Q28" s="12">
        <v>9929060.7085599992</v>
      </c>
      <c r="R28" s="12">
        <v>9929060.7085599992</v>
      </c>
      <c r="S28" s="12">
        <v>9929060.7085599992</v>
      </c>
      <c r="T28" s="12">
        <v>9929060.7085599992</v>
      </c>
      <c r="U28" s="12">
        <v>9929060.7085599992</v>
      </c>
      <c r="V28" s="12">
        <v>9929060.7085599992</v>
      </c>
      <c r="W28" s="12">
        <v>41897</v>
      </c>
      <c r="X28" s="12">
        <f>2350818-11769910.08895+44710.3803899884-596575.999999987</f>
        <v>-9970957.7085599992</v>
      </c>
      <c r="Y28" s="12">
        <f t="shared" si="13"/>
        <v>0</v>
      </c>
      <c r="Z28" s="12">
        <v>9929060.7085599992</v>
      </c>
      <c r="AA28" s="12">
        <f>+[2]balance!$G$117/1000+[2]balance!$G$118/1000</f>
        <v>9929060.7085599992</v>
      </c>
      <c r="AB28" s="12">
        <f>+[2]balance!$G$117/1000+[2]balance!$G$118/1000</f>
        <v>9929060.7085599992</v>
      </c>
      <c r="AC28" s="12">
        <f>+[4]balance!$G$118/1000+[4]balance!$G$119/1000</f>
        <v>9929060.7085599992</v>
      </c>
      <c r="AD28" s="12">
        <f>+[4]balance!$G$118/1000+[4]balance!$G$119/1000</f>
        <v>9929060.7085599992</v>
      </c>
      <c r="AE28" s="12">
        <f>+[4]balance!$G$118/1000+[4]balance!$G$119/1000</f>
        <v>9929060.7085599992</v>
      </c>
      <c r="AF28" s="12">
        <f>+[4]balance!$G$118/1000+[4]balance!$G$119/1000</f>
        <v>9929060.7085599992</v>
      </c>
      <c r="AG28" s="12">
        <v>41897</v>
      </c>
      <c r="AH28" s="12">
        <v>-9970958</v>
      </c>
      <c r="AI28" s="12">
        <f t="shared" si="14"/>
        <v>-0.29144000075757504</v>
      </c>
    </row>
    <row r="29" spans="2:39" x14ac:dyDescent="0.25">
      <c r="B29" s="10" t="s">
        <v>57</v>
      </c>
      <c r="C29" s="11">
        <v>11540540</v>
      </c>
      <c r="D29" s="12">
        <v>7615094.6579999998</v>
      </c>
      <c r="E29" s="12">
        <v>7615094.6579999998</v>
      </c>
      <c r="F29" s="12">
        <v>7615094.6579999998</v>
      </c>
      <c r="G29" s="11">
        <v>7615094.6579999998</v>
      </c>
      <c r="H29" s="11">
        <v>7615094.6579999998</v>
      </c>
      <c r="I29" s="12">
        <v>7615094.5999999996</v>
      </c>
      <c r="J29" s="12">
        <v>7615094.5999999996</v>
      </c>
      <c r="K29" s="12">
        <f>9236121.50328-352512+49899</f>
        <v>8933508.5032800008</v>
      </c>
      <c r="L29" s="12">
        <v>9488726</v>
      </c>
      <c r="M29" s="12">
        <v>9488726.0300400015</v>
      </c>
      <c r="N29" s="12">
        <f>10065291167.35/1000+1</f>
        <v>10065292.16735</v>
      </c>
      <c r="O29" s="12">
        <f>10065291167.35/1000</f>
        <v>10065291.16735</v>
      </c>
      <c r="P29" s="12">
        <v>10054568.128079999</v>
      </c>
      <c r="Q29" s="12">
        <v>10318127.139309999</v>
      </c>
      <c r="R29" s="12">
        <v>10318127.139309999</v>
      </c>
      <c r="S29" s="12">
        <v>10318127.139309999</v>
      </c>
      <c r="T29" s="12">
        <v>10048392.29724</v>
      </c>
      <c r="U29" s="12">
        <f>+[1]balance!$M$25/1000</f>
        <v>10099592.35877</v>
      </c>
      <c r="V29" s="12">
        <v>7350220.9119799994</v>
      </c>
      <c r="W29" s="12">
        <v>923048</v>
      </c>
      <c r="X29" s="12">
        <f>-W29-109953.1297</f>
        <v>-1033001.1297</v>
      </c>
      <c r="Y29" s="12">
        <f t="shared" si="13"/>
        <v>7240267.782279999</v>
      </c>
      <c r="Z29" s="12">
        <v>9422418.2743500005</v>
      </c>
      <c r="AA29" s="12">
        <f>+[2]balance!$G$121/1000</f>
        <v>9047135.8183600008</v>
      </c>
      <c r="AB29" s="12">
        <f>+[3]balance!$L$24/1000</f>
        <v>9256595.0323600005</v>
      </c>
      <c r="AC29" s="12">
        <f>+[4]balance!$G$122/1000</f>
        <v>7656595.0280400002</v>
      </c>
      <c r="AD29" s="12">
        <f>+[5]balance!$G$122/1000</f>
        <v>7794707.6638199994</v>
      </c>
      <c r="AE29" s="12">
        <f>+[8]balance!$G$123/1000</f>
        <v>9353095.5805300009</v>
      </c>
      <c r="AF29" s="12">
        <f>+[7]balance!$M$25/1000</f>
        <v>9328279.5551500004</v>
      </c>
      <c r="AG29" s="12">
        <v>1396291</v>
      </c>
      <c r="AH29" s="12">
        <f>-AG29-JIV!G24/1000</f>
        <v>-1399566.1569743999</v>
      </c>
      <c r="AI29" s="12">
        <f t="shared" si="14"/>
        <v>9325004.3981756009</v>
      </c>
    </row>
    <row r="30" spans="2:39" x14ac:dyDescent="0.25">
      <c r="B30" s="10" t="s">
        <v>58</v>
      </c>
      <c r="C30" s="11">
        <v>13799</v>
      </c>
      <c r="D30" s="12">
        <v>13799</v>
      </c>
      <c r="E30" s="12">
        <v>13799</v>
      </c>
      <c r="F30" s="12">
        <v>13799</v>
      </c>
      <c r="G30" s="11">
        <v>13799</v>
      </c>
      <c r="H30" s="11">
        <v>13799</v>
      </c>
      <c r="I30" s="12">
        <v>13799</v>
      </c>
      <c r="J30" s="12">
        <v>13799</v>
      </c>
      <c r="K30" s="12">
        <v>13799</v>
      </c>
      <c r="L30" s="12">
        <v>13799</v>
      </c>
      <c r="M30" s="12">
        <v>13799</v>
      </c>
      <c r="N30" s="12">
        <v>13799</v>
      </c>
      <c r="O30" s="12">
        <v>13799</v>
      </c>
      <c r="P30" s="12">
        <v>13799</v>
      </c>
      <c r="Q30" s="12">
        <v>13799</v>
      </c>
      <c r="R30" s="12">
        <v>13799</v>
      </c>
      <c r="S30" s="12">
        <v>13799</v>
      </c>
      <c r="T30" s="12">
        <v>13799</v>
      </c>
      <c r="U30" s="12">
        <v>13799.079</v>
      </c>
      <c r="V30" s="12">
        <v>13799.079</v>
      </c>
      <c r="W30" s="12"/>
      <c r="X30" s="12"/>
      <c r="Y30" s="12">
        <f t="shared" si="13"/>
        <v>13799.079</v>
      </c>
      <c r="Z30" s="12">
        <v>13799.079</v>
      </c>
      <c r="AA30" s="12">
        <v>13799.079</v>
      </c>
      <c r="AB30" s="12">
        <v>13799.079</v>
      </c>
      <c r="AC30" s="12">
        <f>+[4]balance!$G$121/1000</f>
        <v>13799.079</v>
      </c>
      <c r="AD30" s="12">
        <f>+[4]balance!$G$121/1000</f>
        <v>13799.079</v>
      </c>
      <c r="AE30" s="12">
        <f>+[4]balance!$G$121/1000</f>
        <v>13799.079</v>
      </c>
      <c r="AF30" s="12">
        <f>+[4]balance!$G$121/1000</f>
        <v>13799.079</v>
      </c>
      <c r="AG30" s="12"/>
      <c r="AH30" s="12"/>
      <c r="AI30" s="12">
        <f t="shared" si="14"/>
        <v>13799.079</v>
      </c>
    </row>
    <row r="31" spans="2:39" x14ac:dyDescent="0.25">
      <c r="B31" s="21" t="s">
        <v>59</v>
      </c>
      <c r="C31" s="20">
        <f>C32+C33</f>
        <v>10803263.825999999</v>
      </c>
      <c r="D31" s="20">
        <f t="shared" ref="D31:J31" si="15">D32+D33</f>
        <v>15421082.353639999</v>
      </c>
      <c r="E31" s="20">
        <f t="shared" si="15"/>
        <v>15351010.359199999</v>
      </c>
      <c r="F31" s="20">
        <f t="shared" si="15"/>
        <v>15200100.3806</v>
      </c>
      <c r="G31" s="20">
        <f t="shared" si="15"/>
        <v>14944358.395</v>
      </c>
      <c r="H31" s="20">
        <f t="shared" si="15"/>
        <v>14138090.415083999</v>
      </c>
      <c r="I31" s="20">
        <f t="shared" si="15"/>
        <v>14128090.320084</v>
      </c>
      <c r="J31" s="20">
        <f t="shared" si="15"/>
        <v>14128090.320084</v>
      </c>
      <c r="K31" s="20">
        <f>K32+K33</f>
        <v>16850162.24452202</v>
      </c>
      <c r="L31" s="20">
        <f t="shared" ref="L31:T31" si="16">L32+L33</f>
        <v>16261642.264606019</v>
      </c>
      <c r="M31" s="20">
        <f t="shared" si="16"/>
        <v>16261642.264606019</v>
      </c>
      <c r="N31" s="20">
        <f t="shared" si="16"/>
        <v>16717527.264606019</v>
      </c>
      <c r="O31" s="20">
        <f t="shared" si="16"/>
        <v>16137951.829505159</v>
      </c>
      <c r="P31" s="20">
        <f t="shared" si="16"/>
        <v>16764849.10787702</v>
      </c>
      <c r="Q31" s="20">
        <f t="shared" si="16"/>
        <v>16353889.112004019</v>
      </c>
      <c r="R31" s="20">
        <f t="shared" si="16"/>
        <v>16376949.019099159</v>
      </c>
      <c r="S31" s="20">
        <f t="shared" si="16"/>
        <v>16221919.197718021</v>
      </c>
      <c r="T31" s="20">
        <f t="shared" si="16"/>
        <v>16362280.05250402</v>
      </c>
      <c r="U31" s="20">
        <f t="shared" ref="U31" si="17">SUM(U32:U33)</f>
        <v>22405142.533629999</v>
      </c>
      <c r="V31" s="20">
        <f>SUM(V32:V33)</f>
        <v>24099636.872900002</v>
      </c>
      <c r="W31" s="20">
        <f t="shared" ref="W31:AI31" si="18">SUM(W32:W33)</f>
        <v>-135010.69209</v>
      </c>
      <c r="X31" s="20">
        <f t="shared" si="18"/>
        <v>-15227494.07493001</v>
      </c>
      <c r="Y31" s="20">
        <f t="shared" si="18"/>
        <v>8737132.1058799904</v>
      </c>
      <c r="Z31" s="20">
        <f t="shared" si="18"/>
        <v>23735433.335521001</v>
      </c>
      <c r="AA31" s="20">
        <f t="shared" si="18"/>
        <v>17573423.347464021</v>
      </c>
      <c r="AB31" s="20">
        <f t="shared" si="18"/>
        <v>846316.36844000022</v>
      </c>
      <c r="AC31" s="20">
        <f t="shared" si="18"/>
        <v>2597540.9861500002</v>
      </c>
      <c r="AD31" s="20">
        <f t="shared" si="18"/>
        <v>2232192.9782320913</v>
      </c>
      <c r="AE31" s="20">
        <f t="shared" si="18"/>
        <v>1316712.2057800007</v>
      </c>
      <c r="AF31" s="20">
        <f t="shared" si="18"/>
        <v>24917805.66169</v>
      </c>
      <c r="AG31" s="20">
        <f t="shared" si="18"/>
        <v>-154862</v>
      </c>
      <c r="AH31" s="20">
        <f t="shared" si="18"/>
        <v>-15215690</v>
      </c>
      <c r="AI31" s="20">
        <f t="shared" si="18"/>
        <v>9547253.6616900004</v>
      </c>
    </row>
    <row r="32" spans="2:39" x14ac:dyDescent="0.25">
      <c r="B32" s="22" t="s">
        <v>60</v>
      </c>
      <c r="C32" s="11">
        <v>11492905.825999999</v>
      </c>
      <c r="D32" s="12">
        <v>14726610.395</v>
      </c>
      <c r="E32" s="12">
        <v>14726610.395</v>
      </c>
      <c r="F32" s="12">
        <v>14726610.395</v>
      </c>
      <c r="G32" s="11">
        <v>14726610.395</v>
      </c>
      <c r="H32" s="11">
        <v>14726610.395</v>
      </c>
      <c r="I32" s="12">
        <v>14716610.300000001</v>
      </c>
      <c r="J32" s="12">
        <v>14716610.300000001</v>
      </c>
      <c r="K32" s="12">
        <v>16104176.6684018</v>
      </c>
      <c r="L32" s="12">
        <f>+K31</f>
        <v>16850162.24452202</v>
      </c>
      <c r="M32" s="12">
        <v>16850162.24452202</v>
      </c>
      <c r="N32" s="12">
        <v>16850162.24452202</v>
      </c>
      <c r="O32" s="12">
        <v>16850162.24452202</v>
      </c>
      <c r="P32" s="12">
        <v>16850162.24452202</v>
      </c>
      <c r="Q32" s="12">
        <v>16850162.24452202</v>
      </c>
      <c r="R32" s="12">
        <v>16850162.24452202</v>
      </c>
      <c r="S32" s="12">
        <v>16850162.24452202</v>
      </c>
      <c r="T32" s="12">
        <v>16850162.24452202</v>
      </c>
      <c r="U32" s="12">
        <v>23075832.24828</v>
      </c>
      <c r="V32" s="12">
        <v>23075832.24828</v>
      </c>
      <c r="W32" s="12">
        <v>-69153</v>
      </c>
      <c r="X32" s="12">
        <f>-15809795.91105+596575.999999987-14274.163879998</f>
        <v>-15227494.07493001</v>
      </c>
      <c r="Y32" s="12">
        <f t="shared" ref="Y32:Y33" si="19">+V32+W32+X32</f>
        <v>7779185.1733499896</v>
      </c>
      <c r="Z32" s="12">
        <v>24099636.87291</v>
      </c>
      <c r="AA32" s="12">
        <f>+T31</f>
        <v>16362280.05250402</v>
      </c>
      <c r="AB32" s="12">
        <f>+W31</f>
        <v>-135010.69209</v>
      </c>
      <c r="AC32" s="12">
        <f>+AB32</f>
        <v>-135010.69209</v>
      </c>
      <c r="AD32" s="12">
        <f>+AB32</f>
        <v>-135010.69209</v>
      </c>
      <c r="AE32" s="12">
        <f>+AC32</f>
        <v>-135010.69209</v>
      </c>
      <c r="AF32" s="12">
        <v>24099637</v>
      </c>
      <c r="AG32" s="12">
        <v>-135011</v>
      </c>
      <c r="AH32" s="12">
        <v>-15215690</v>
      </c>
      <c r="AI32" s="12">
        <f t="shared" ref="AI32:AI33" si="20">+AF32+AG32+AH32</f>
        <v>8748936</v>
      </c>
      <c r="AJ32" s="24"/>
    </row>
    <row r="33" spans="2:39" x14ac:dyDescent="0.25">
      <c r="B33" s="22" t="s">
        <v>61</v>
      </c>
      <c r="C33" s="11">
        <v>-689642</v>
      </c>
      <c r="D33" s="12">
        <v>694471.95863999997</v>
      </c>
      <c r="E33" s="12">
        <v>624399.96419999993</v>
      </c>
      <c r="F33" s="12">
        <v>473489.98559999984</v>
      </c>
      <c r="G33" s="12">
        <v>217748</v>
      </c>
      <c r="H33" s="12">
        <v>-588519.97991600016</v>
      </c>
      <c r="I33" s="12">
        <v>-588519.97991600016</v>
      </c>
      <c r="J33" s="12">
        <v>-588519.97991600016</v>
      </c>
      <c r="K33" s="12">
        <v>745985.57612022001</v>
      </c>
      <c r="L33" s="12">
        <v>-588519.97991600016</v>
      </c>
      <c r="M33" s="12">
        <v>-588519.97991600016</v>
      </c>
      <c r="N33" s="12">
        <f>-588519.979916+455885</f>
        <v>-132634.97991600004</v>
      </c>
      <c r="O33" s="12">
        <v>-712210.41501686187</v>
      </c>
      <c r="P33" s="12">
        <f>P59</f>
        <v>-85313.136644999991</v>
      </c>
      <c r="Q33" s="12">
        <v>-496273.1325180002</v>
      </c>
      <c r="R33" s="12">
        <v>-473213.22542286024</v>
      </c>
      <c r="S33" s="12">
        <v>-628243.04680399946</v>
      </c>
      <c r="T33" s="12">
        <v>-487882.19201799994</v>
      </c>
      <c r="U33" s="12">
        <f t="shared" ref="U33:AE33" si="21">+U59</f>
        <v>-670689.71464999998</v>
      </c>
      <c r="V33" s="12">
        <f>+V59</f>
        <v>1023804.6246200007</v>
      </c>
      <c r="W33" s="12">
        <v>-65857.692089999997</v>
      </c>
      <c r="X33" s="12"/>
      <c r="Y33" s="12">
        <f t="shared" si="19"/>
        <v>957946.93253000069</v>
      </c>
      <c r="Z33" s="12">
        <f t="shared" si="21"/>
        <v>-364203.53738899989</v>
      </c>
      <c r="AA33" s="12">
        <f t="shared" si="21"/>
        <v>1211143.2949600001</v>
      </c>
      <c r="AB33" s="12">
        <f t="shared" si="21"/>
        <v>981327.06053000025</v>
      </c>
      <c r="AC33" s="12">
        <f t="shared" si="21"/>
        <v>2732551.6782400003</v>
      </c>
      <c r="AD33" s="12">
        <f t="shared" si="21"/>
        <v>2367203.6703220913</v>
      </c>
      <c r="AE33" s="12">
        <f t="shared" si="21"/>
        <v>1451722.8978700007</v>
      </c>
      <c r="AF33" s="12">
        <f>+AF59</f>
        <v>818168.66168999975</v>
      </c>
      <c r="AG33" s="12">
        <v>-19851</v>
      </c>
      <c r="AH33" s="12"/>
      <c r="AI33" s="12">
        <f t="shared" si="20"/>
        <v>798317.66168999975</v>
      </c>
      <c r="AJ33" s="24"/>
    </row>
    <row r="34" spans="2:39" x14ac:dyDescent="0.25">
      <c r="B34" s="15" t="s">
        <v>62</v>
      </c>
      <c r="C34" s="17">
        <f t="shared" ref="C34:T34" si="22">C31+C25</f>
        <v>34166316.534559995</v>
      </c>
      <c r="D34" s="17">
        <f t="shared" si="22"/>
        <v>34505654.06464</v>
      </c>
      <c r="E34" s="17">
        <f t="shared" si="22"/>
        <v>34480589.677199997</v>
      </c>
      <c r="F34" s="17">
        <f t="shared" si="22"/>
        <v>34329239.698600002</v>
      </c>
      <c r="G34" s="17">
        <f t="shared" si="22"/>
        <v>34111685.713</v>
      </c>
      <c r="H34" s="17">
        <f t="shared" si="22"/>
        <v>33503285.391084</v>
      </c>
      <c r="I34" s="17">
        <f t="shared" si="22"/>
        <v>33485302.920084</v>
      </c>
      <c r="J34" s="17">
        <f t="shared" si="22"/>
        <v>33405480.571084</v>
      </c>
      <c r="K34" s="17">
        <f t="shared" si="22"/>
        <v>37445966.863362022</v>
      </c>
      <c r="L34" s="17">
        <f t="shared" si="22"/>
        <v>37412664.380166017</v>
      </c>
      <c r="M34" s="17">
        <f t="shared" si="22"/>
        <v>37412664.41020602</v>
      </c>
      <c r="N34" s="17">
        <f t="shared" si="22"/>
        <v>38445115.547516018</v>
      </c>
      <c r="O34" s="17">
        <f t="shared" si="22"/>
        <v>37865539.112415157</v>
      </c>
      <c r="P34" s="17">
        <f t="shared" si="22"/>
        <v>38481713.351517022</v>
      </c>
      <c r="Q34" s="17">
        <f t="shared" si="22"/>
        <v>38334312.366874017</v>
      </c>
      <c r="R34" s="17">
        <f t="shared" si="22"/>
        <v>38357372.273969159</v>
      </c>
      <c r="S34" s="17">
        <f t="shared" si="22"/>
        <v>38202342.452588022</v>
      </c>
      <c r="T34" s="17">
        <f t="shared" si="22"/>
        <v>38072968.465304017</v>
      </c>
      <c r="U34" s="17">
        <f t="shared" ref="U34" si="23">+U31+U25</f>
        <v>44167031.086960003</v>
      </c>
      <c r="V34" s="17">
        <f>+V31+V25</f>
        <v>43112154.572439998</v>
      </c>
      <c r="W34" s="17">
        <f t="shared" ref="W34:AI34" si="24">+W31+W25</f>
        <v>2495872.30791</v>
      </c>
      <c r="X34" s="17">
        <f t="shared" si="24"/>
        <v>-2809816.9131900091</v>
      </c>
      <c r="Y34" s="17">
        <f t="shared" si="24"/>
        <v>42798209.967159994</v>
      </c>
      <c r="Z34" s="17">
        <f t="shared" si="24"/>
        <v>44820147.804430999</v>
      </c>
      <c r="AA34" s="17">
        <f t="shared" si="24"/>
        <v>38282855.360384017</v>
      </c>
      <c r="AB34" s="17">
        <f t="shared" si="24"/>
        <v>21765207.595359996</v>
      </c>
      <c r="AC34" s="17">
        <f t="shared" si="24"/>
        <v>21916432.208749998</v>
      </c>
      <c r="AD34" s="17">
        <f t="shared" si="24"/>
        <v>21689196.83661209</v>
      </c>
      <c r="AE34" s="17">
        <f t="shared" si="24"/>
        <v>22332103.980869997</v>
      </c>
      <c r="AF34" s="17">
        <f t="shared" si="24"/>
        <v>45908382.0044</v>
      </c>
      <c r="AG34" s="17">
        <f t="shared" si="24"/>
        <v>2949264</v>
      </c>
      <c r="AH34" s="17">
        <f t="shared" si="24"/>
        <v>-3015552.8501929026</v>
      </c>
      <c r="AI34" s="17">
        <f t="shared" si="24"/>
        <v>45842093.15420711</v>
      </c>
      <c r="AJ34" s="24"/>
    </row>
    <row r="35" spans="2:39" x14ac:dyDescent="0.25">
      <c r="B35" s="23" t="s">
        <v>63</v>
      </c>
      <c r="C35" s="14">
        <f t="shared" ref="C35:T35" si="25">C34+C24</f>
        <v>40055501.834719993</v>
      </c>
      <c r="D35" s="14">
        <f t="shared" si="25"/>
        <v>35591564.529289998</v>
      </c>
      <c r="E35" s="14">
        <f t="shared" si="25"/>
        <v>35569487.75073</v>
      </c>
      <c r="F35" s="14">
        <f t="shared" si="25"/>
        <v>35400327.524149999</v>
      </c>
      <c r="G35" s="14">
        <f t="shared" si="25"/>
        <v>35141507.264700003</v>
      </c>
      <c r="H35" s="14">
        <f t="shared" si="25"/>
        <v>35850167.569104001</v>
      </c>
      <c r="I35" s="14">
        <f t="shared" si="25"/>
        <v>36365593.226254001</v>
      </c>
      <c r="J35" s="14">
        <f t="shared" si="25"/>
        <v>36222414.590154</v>
      </c>
      <c r="K35" s="14">
        <f t="shared" si="25"/>
        <v>39392368.472368561</v>
      </c>
      <c r="L35" s="14">
        <f t="shared" si="25"/>
        <v>39009005.880166017</v>
      </c>
      <c r="M35" s="14">
        <f t="shared" si="25"/>
        <v>39065937.114918023</v>
      </c>
      <c r="N35" s="14">
        <f t="shared" si="25"/>
        <v>41717138.264222018</v>
      </c>
      <c r="O35" s="14">
        <f t="shared" si="25"/>
        <v>40887155.495775811</v>
      </c>
      <c r="P35" s="14">
        <f t="shared" si="25"/>
        <v>41259369.511552021</v>
      </c>
      <c r="Q35" s="14">
        <f t="shared" si="25"/>
        <v>41195348.846062019</v>
      </c>
      <c r="R35" s="14">
        <f t="shared" si="25"/>
        <v>41465150.684199952</v>
      </c>
      <c r="S35" s="14">
        <f t="shared" si="25"/>
        <v>41223768.797872022</v>
      </c>
      <c r="T35" s="14">
        <f t="shared" si="25"/>
        <v>41563629.847195216</v>
      </c>
      <c r="U35" s="14">
        <f t="shared" ref="U35:V35" si="26">+U34+U24</f>
        <v>48595288.527210005</v>
      </c>
      <c r="V35" s="14">
        <f t="shared" si="26"/>
        <v>49656326.94128</v>
      </c>
      <c r="W35" s="14">
        <f t="shared" ref="W35:AI35" si="27">+W34+W24</f>
        <v>2712016.30791</v>
      </c>
      <c r="X35" s="14">
        <f t="shared" si="27"/>
        <v>-2978291.9276056089</v>
      </c>
      <c r="Y35" s="14">
        <f t="shared" si="27"/>
        <v>49390051.321584396</v>
      </c>
      <c r="Z35" s="14">
        <f t="shared" si="27"/>
        <v>50965932.444970995</v>
      </c>
      <c r="AA35" s="14">
        <f t="shared" si="27"/>
        <v>44174319.187824018</v>
      </c>
      <c r="AB35" s="14">
        <f t="shared" si="27"/>
        <v>27632584.632769994</v>
      </c>
      <c r="AC35" s="14">
        <f t="shared" si="27"/>
        <v>28769400.474139996</v>
      </c>
      <c r="AD35" s="14">
        <f t="shared" si="27"/>
        <v>29096299.754792091</v>
      </c>
      <c r="AE35" s="14">
        <f t="shared" si="27"/>
        <v>30399883.008319996</v>
      </c>
      <c r="AF35" s="14">
        <f t="shared" si="27"/>
        <v>54759730.953419998</v>
      </c>
      <c r="AG35" s="14">
        <f t="shared" si="27"/>
        <v>3210456</v>
      </c>
      <c r="AH35" s="14">
        <f t="shared" si="27"/>
        <v>-3194358.7565285028</v>
      </c>
      <c r="AI35" s="14">
        <f t="shared" si="27"/>
        <v>54775828.196891509</v>
      </c>
      <c r="AJ35" s="24"/>
    </row>
    <row r="36" spans="2:39" x14ac:dyDescent="0.25">
      <c r="B36" s="33"/>
      <c r="C36" s="24">
        <f t="shared" ref="C36:T36" si="28">+C16-C35</f>
        <v>-160216.32841679454</v>
      </c>
      <c r="D36" s="24">
        <f t="shared" si="28"/>
        <v>53498.565942898393</v>
      </c>
      <c r="E36" s="24">
        <f t="shared" si="28"/>
        <v>0.47937239706516266</v>
      </c>
      <c r="F36" s="24">
        <f t="shared" si="28"/>
        <v>0.48053330183029175</v>
      </c>
      <c r="G36" s="24">
        <f t="shared" si="28"/>
        <v>5.9324793517589569E-2</v>
      </c>
      <c r="H36" s="24">
        <f t="shared" si="28"/>
        <v>1059806.937401399</v>
      </c>
      <c r="I36" s="24">
        <f t="shared" si="28"/>
        <v>795888.05343820155</v>
      </c>
      <c r="J36" s="24">
        <f t="shared" si="28"/>
        <v>1260627.8430908993</v>
      </c>
      <c r="K36" s="24">
        <f t="shared" si="28"/>
        <v>8.3034336566925049E-2</v>
      </c>
      <c r="L36" s="24">
        <f t="shared" si="28"/>
        <v>503655.11983398348</v>
      </c>
      <c r="M36" s="24">
        <f t="shared" si="28"/>
        <v>-125.48303478956223</v>
      </c>
      <c r="N36" s="24">
        <f t="shared" si="28"/>
        <v>-0.43403001874685287</v>
      </c>
      <c r="O36" s="24">
        <f t="shared" si="28"/>
        <v>0.45061559230089188</v>
      </c>
      <c r="P36" s="24">
        <f t="shared" si="28"/>
        <v>-516009.30019302666</v>
      </c>
      <c r="Q36" s="24">
        <f t="shared" si="28"/>
        <v>0.45151848345994949</v>
      </c>
      <c r="R36" s="24">
        <f t="shared" si="28"/>
        <v>0.45051538199186325</v>
      </c>
      <c r="S36" s="24">
        <f t="shared" si="28"/>
        <v>0.45063047856092453</v>
      </c>
      <c r="T36" s="24">
        <f t="shared" si="28"/>
        <v>0.45062047988176346</v>
      </c>
      <c r="U36" s="24">
        <f t="shared" ref="U36:V36" si="29">+U35-U16</f>
        <v>0.16570001095533371</v>
      </c>
      <c r="V36" s="24">
        <f t="shared" si="29"/>
        <v>0.59402000159025192</v>
      </c>
      <c r="W36" s="24">
        <f t="shared" ref="W36:AI36" si="30">+W35-W16</f>
        <v>0.30790999997407198</v>
      </c>
      <c r="X36" s="24">
        <f t="shared" si="30"/>
        <v>0.38039439124986529</v>
      </c>
      <c r="Y36" s="24">
        <f t="shared" si="30"/>
        <v>1.2823243960738182</v>
      </c>
      <c r="Z36" s="24">
        <f t="shared" si="30"/>
        <v>-7.6999001204967499E-2</v>
      </c>
      <c r="AA36" s="24">
        <f t="shared" si="30"/>
        <v>-7737356.8309559822</v>
      </c>
      <c r="AB36" s="24">
        <f t="shared" si="30"/>
        <v>-24234647.355540007</v>
      </c>
      <c r="AC36" s="24">
        <f t="shared" si="30"/>
        <v>-24234647.564000003</v>
      </c>
      <c r="AD36" s="24">
        <f t="shared" si="30"/>
        <v>-24234647.564567912</v>
      </c>
      <c r="AE36" s="24">
        <f t="shared" si="30"/>
        <v>-24234647.563990004</v>
      </c>
      <c r="AF36" s="24">
        <f t="shared" si="30"/>
        <v>0.72108999639749527</v>
      </c>
      <c r="AG36" s="24">
        <f t="shared" si="30"/>
        <v>0</v>
      </c>
      <c r="AH36" s="24">
        <f t="shared" si="30"/>
        <v>0.24347149720415473</v>
      </c>
      <c r="AI36" s="24">
        <f t="shared" si="30"/>
        <v>0.96456150710582733</v>
      </c>
      <c r="AJ36" s="24"/>
      <c r="AK36" s="24"/>
      <c r="AL36" s="162"/>
      <c r="AM36" s="33"/>
    </row>
    <row r="37" spans="2:39" x14ac:dyDescent="0.25">
      <c r="B37" s="3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66"/>
      <c r="Z37" s="24"/>
      <c r="AA37" s="24"/>
      <c r="AB37" s="24"/>
      <c r="AC37" s="24"/>
      <c r="AD37" s="24"/>
      <c r="AE37" s="24">
        <f>+AE35-[8]balance!$M$29/1000</f>
        <v>-24234647.565000013</v>
      </c>
      <c r="AF37" s="66"/>
      <c r="AG37" s="66"/>
      <c r="AH37" s="66"/>
      <c r="AI37" s="66"/>
      <c r="AJ37" s="24"/>
      <c r="AK37" s="24"/>
      <c r="AL37" s="162"/>
      <c r="AM37" s="33"/>
    </row>
    <row r="38" spans="2:39" ht="13.2" x14ac:dyDescent="0.25">
      <c r="B38" s="25" t="s">
        <v>64</v>
      </c>
      <c r="C38" s="26"/>
      <c r="D38" s="24"/>
      <c r="E38" s="24"/>
      <c r="F38" s="24"/>
      <c r="G38" s="26"/>
      <c r="H38" s="26"/>
      <c r="I38" s="27"/>
      <c r="J38" s="27"/>
      <c r="K38" s="27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4"/>
      <c r="AK38" s="24"/>
      <c r="AL38" s="162"/>
    </row>
    <row r="39" spans="2:39" x14ac:dyDescent="0.25">
      <c r="B39" s="320" t="s">
        <v>65</v>
      </c>
      <c r="C39" s="5" t="s">
        <v>3</v>
      </c>
      <c r="D39" s="1" t="s">
        <v>4</v>
      </c>
      <c r="E39" s="1" t="s">
        <v>5</v>
      </c>
      <c r="F39" s="1" t="s">
        <v>6</v>
      </c>
      <c r="G39" s="2" t="s">
        <v>7</v>
      </c>
      <c r="H39" s="2" t="s">
        <v>8</v>
      </c>
      <c r="I39" s="3" t="s">
        <v>9</v>
      </c>
      <c r="J39" s="4" t="s">
        <v>10</v>
      </c>
      <c r="K39" s="4" t="s">
        <v>11</v>
      </c>
      <c r="L39" s="4" t="s">
        <v>12</v>
      </c>
      <c r="M39" s="4" t="s">
        <v>13</v>
      </c>
      <c r="N39" s="4" t="s">
        <v>14</v>
      </c>
      <c r="O39" s="4" t="s">
        <v>15</v>
      </c>
      <c r="P39" s="4" t="s">
        <v>16</v>
      </c>
      <c r="Q39" s="4" t="s">
        <v>17</v>
      </c>
      <c r="R39" s="4" t="s">
        <v>18</v>
      </c>
      <c r="S39" s="4" t="s">
        <v>19</v>
      </c>
      <c r="T39" s="4" t="s">
        <v>20</v>
      </c>
      <c r="U39" s="4" t="s">
        <v>21</v>
      </c>
      <c r="V39" s="321" t="s">
        <v>22</v>
      </c>
      <c r="W39" s="321"/>
      <c r="X39" s="321" t="s">
        <v>175</v>
      </c>
      <c r="Y39" s="321" t="s">
        <v>22</v>
      </c>
      <c r="Z39" s="56" t="s">
        <v>23</v>
      </c>
      <c r="AA39" s="56" t="s">
        <v>24</v>
      </c>
      <c r="AB39" s="56" t="s">
        <v>25</v>
      </c>
      <c r="AC39" s="56" t="s">
        <v>26</v>
      </c>
      <c r="AD39" s="56" t="s">
        <v>27</v>
      </c>
      <c r="AE39" s="56" t="s">
        <v>28</v>
      </c>
      <c r="AF39" s="321" t="s">
        <v>29</v>
      </c>
      <c r="AG39" s="321"/>
      <c r="AH39" s="321" t="s">
        <v>175</v>
      </c>
      <c r="AI39" s="321" t="s">
        <v>390</v>
      </c>
      <c r="AJ39" s="53"/>
      <c r="AK39" s="24"/>
      <c r="AL39" s="162"/>
      <c r="AM39" s="33"/>
    </row>
    <row r="40" spans="2:39" s="63" customFormat="1" x14ac:dyDescent="0.2">
      <c r="B40" s="320"/>
      <c r="C40" s="5"/>
      <c r="D40" s="6">
        <v>1</v>
      </c>
      <c r="E40" s="6">
        <v>1</v>
      </c>
      <c r="F40" s="6">
        <v>1</v>
      </c>
      <c r="G40" s="7" t="s">
        <v>31</v>
      </c>
      <c r="H40" s="7" t="s">
        <v>32</v>
      </c>
      <c r="I40" s="8"/>
      <c r="J40" s="9" t="s">
        <v>33</v>
      </c>
      <c r="K40" s="8">
        <v>1</v>
      </c>
      <c r="L40" s="7" t="s">
        <v>34</v>
      </c>
      <c r="M40" s="7" t="s">
        <v>35</v>
      </c>
      <c r="N40" s="7" t="s">
        <v>31</v>
      </c>
      <c r="O40" s="7" t="s">
        <v>35</v>
      </c>
      <c r="P40" s="7" t="s">
        <v>35</v>
      </c>
      <c r="Q40" s="7" t="s">
        <v>34</v>
      </c>
      <c r="R40" s="7" t="s">
        <v>34</v>
      </c>
      <c r="S40" s="7" t="s">
        <v>31</v>
      </c>
      <c r="T40" s="7" t="s">
        <v>31</v>
      </c>
      <c r="U40" s="7" t="s">
        <v>31</v>
      </c>
      <c r="V40" s="7" t="s">
        <v>106</v>
      </c>
      <c r="W40" s="7" t="s">
        <v>107</v>
      </c>
      <c r="X40" s="321"/>
      <c r="Y40" s="321"/>
      <c r="Z40" s="7" t="s">
        <v>34</v>
      </c>
      <c r="AA40" s="7"/>
      <c r="AB40" s="7" t="s">
        <v>34</v>
      </c>
      <c r="AC40" s="7" t="s">
        <v>35</v>
      </c>
      <c r="AD40" s="7" t="s">
        <v>35</v>
      </c>
      <c r="AE40" s="7" t="s">
        <v>35</v>
      </c>
      <c r="AF40" s="7" t="s">
        <v>106</v>
      </c>
      <c r="AG40" s="7" t="s">
        <v>107</v>
      </c>
      <c r="AH40" s="321"/>
      <c r="AI40" s="321"/>
      <c r="AJ40" s="45"/>
      <c r="AK40" s="45"/>
      <c r="AL40" s="163"/>
    </row>
    <row r="41" spans="2:39" x14ac:dyDescent="0.25">
      <c r="B41" s="10" t="s">
        <v>66</v>
      </c>
      <c r="C41" s="11">
        <f>5031.18+4041899</f>
        <v>4046930.18</v>
      </c>
      <c r="D41" s="11">
        <v>0</v>
      </c>
      <c r="E41" s="11"/>
      <c r="F41" s="11"/>
      <c r="G41" s="31"/>
      <c r="H41" s="31"/>
      <c r="I41" s="32"/>
      <c r="J41" s="11">
        <v>99824.75</v>
      </c>
      <c r="K41" s="11">
        <v>10977189.60586</v>
      </c>
      <c r="L41" s="11"/>
      <c r="M41" s="11"/>
      <c r="N41" s="11">
        <v>0</v>
      </c>
      <c r="O41" s="11"/>
      <c r="P41" s="11">
        <v>0</v>
      </c>
      <c r="Q41" s="11">
        <v>0</v>
      </c>
      <c r="R41" s="11"/>
      <c r="S41" s="11"/>
      <c r="T41" s="11">
        <v>0</v>
      </c>
      <c r="U41" s="11">
        <f>+[1]balance!$M$37/1000+[1]balance!$M$40/1000</f>
        <v>385402</v>
      </c>
      <c r="V41" s="11">
        <f>385402+2000000</f>
        <v>2385402</v>
      </c>
      <c r="W41" s="11">
        <v>148726</v>
      </c>
      <c r="X41" s="11"/>
      <c r="Y41" s="12">
        <f>+V41+W41</f>
        <v>2534128</v>
      </c>
      <c r="Z41" s="11">
        <v>89064.065819999989</v>
      </c>
      <c r="AA41" s="11">
        <f>+[2]balance!$L$36/1000</f>
        <v>1217944.6188000001</v>
      </c>
      <c r="AB41" s="11">
        <f>+[3]balance!$L$36/1000</f>
        <v>1233410.9028</v>
      </c>
      <c r="AC41" s="11">
        <f>+[4]balance!$L$37/1000</f>
        <v>3155699.5410000002</v>
      </c>
      <c r="AD41" s="11">
        <f>+[5]balance!$L$37/1000</f>
        <v>3155699.5410000002</v>
      </c>
      <c r="AE41" s="11">
        <f>+[8]balance!$M$37/1000</f>
        <v>2782487.6476799999</v>
      </c>
      <c r="AF41" s="11">
        <f>+[7]balance!$M$37/1000</f>
        <v>2790402.5576799996</v>
      </c>
      <c r="AG41" s="11"/>
      <c r="AH41" s="11"/>
      <c r="AI41" s="12">
        <f>+AF41+AG41</f>
        <v>2790402.5576799996</v>
      </c>
      <c r="AJ41" s="24"/>
      <c r="AK41" s="24"/>
      <c r="AL41" s="162"/>
    </row>
    <row r="42" spans="2:39" x14ac:dyDescent="0.25">
      <c r="B42" s="34" t="s">
        <v>67</v>
      </c>
      <c r="C42" s="35"/>
      <c r="D42" s="35">
        <v>0</v>
      </c>
      <c r="E42" s="35"/>
      <c r="F42" s="35"/>
      <c r="G42" s="36"/>
      <c r="H42" s="36"/>
      <c r="I42" s="37"/>
      <c r="J42" s="38"/>
      <c r="K42" s="35">
        <v>10013092.389799999</v>
      </c>
      <c r="L42" s="35"/>
      <c r="M42" s="35"/>
      <c r="N42" s="35">
        <v>0</v>
      </c>
      <c r="O42" s="35"/>
      <c r="P42" s="35">
        <v>0</v>
      </c>
      <c r="Q42" s="35">
        <v>0</v>
      </c>
      <c r="R42" s="35"/>
      <c r="S42" s="35"/>
      <c r="T42" s="35">
        <v>0</v>
      </c>
      <c r="U42" s="35"/>
      <c r="V42" s="35"/>
      <c r="W42" s="35"/>
      <c r="X42" s="35"/>
      <c r="Y42" s="12">
        <f t="shared" ref="Y42:Y48" si="31">+V42+W42</f>
        <v>0</v>
      </c>
      <c r="Z42" s="35"/>
      <c r="AA42" s="35"/>
      <c r="AB42" s="35"/>
      <c r="AC42" s="35"/>
      <c r="AD42" s="35"/>
      <c r="AE42" s="35"/>
      <c r="AF42" s="35"/>
      <c r="AG42" s="35"/>
      <c r="AH42" s="35"/>
      <c r="AI42" s="12">
        <f t="shared" ref="AI42:AI48" si="32">+AF42+AG42</f>
        <v>0</v>
      </c>
      <c r="AJ42" s="24"/>
      <c r="AK42" s="24"/>
      <c r="AL42" s="162"/>
    </row>
    <row r="43" spans="2:39" s="39" customFormat="1" x14ac:dyDescent="0.2">
      <c r="B43" s="21" t="s">
        <v>68</v>
      </c>
      <c r="C43" s="40">
        <f t="shared" ref="C43:M43" si="33">+C41-C42</f>
        <v>4046930.18</v>
      </c>
      <c r="D43" s="40">
        <f t="shared" si="33"/>
        <v>0</v>
      </c>
      <c r="E43" s="40">
        <f t="shared" si="33"/>
        <v>0</v>
      </c>
      <c r="F43" s="40">
        <f t="shared" si="33"/>
        <v>0</v>
      </c>
      <c r="G43" s="40">
        <f t="shared" si="33"/>
        <v>0</v>
      </c>
      <c r="H43" s="40">
        <f t="shared" si="33"/>
        <v>0</v>
      </c>
      <c r="I43" s="40">
        <f t="shared" si="33"/>
        <v>0</v>
      </c>
      <c r="J43" s="40">
        <f t="shared" si="33"/>
        <v>99824.75</v>
      </c>
      <c r="K43" s="40">
        <f t="shared" si="33"/>
        <v>964097.2160600014</v>
      </c>
      <c r="L43" s="40">
        <f t="shared" si="33"/>
        <v>0</v>
      </c>
      <c r="M43" s="40">
        <f t="shared" si="33"/>
        <v>0</v>
      </c>
      <c r="N43" s="40">
        <f>+N41-N42</f>
        <v>0</v>
      </c>
      <c r="O43" s="40">
        <f t="shared" ref="O43:T43" si="34">+O41-O42</f>
        <v>0</v>
      </c>
      <c r="P43" s="40">
        <f t="shared" si="34"/>
        <v>0</v>
      </c>
      <c r="Q43" s="40">
        <f t="shared" si="34"/>
        <v>0</v>
      </c>
      <c r="R43" s="40">
        <f t="shared" si="34"/>
        <v>0</v>
      </c>
      <c r="S43" s="40">
        <f t="shared" si="34"/>
        <v>0</v>
      </c>
      <c r="T43" s="40">
        <f t="shared" si="34"/>
        <v>0</v>
      </c>
      <c r="U43" s="40">
        <f t="shared" ref="U43" si="35">SUM(U41:U42)</f>
        <v>385402</v>
      </c>
      <c r="V43" s="40">
        <f t="shared" ref="V43" si="36">SUM(V41:V42)</f>
        <v>2385402</v>
      </c>
      <c r="W43" s="40">
        <f t="shared" ref="W43:AI43" si="37">SUM(W41:W42)</f>
        <v>148726</v>
      </c>
      <c r="X43" s="40"/>
      <c r="Y43" s="12">
        <f t="shared" si="31"/>
        <v>2534128</v>
      </c>
      <c r="Z43" s="40">
        <f t="shared" si="37"/>
        <v>89064.065819999989</v>
      </c>
      <c r="AA43" s="40">
        <f t="shared" si="37"/>
        <v>1217944.6188000001</v>
      </c>
      <c r="AB43" s="40">
        <f t="shared" si="37"/>
        <v>1233410.9028</v>
      </c>
      <c r="AC43" s="40">
        <f t="shared" si="37"/>
        <v>3155699.5410000002</v>
      </c>
      <c r="AD43" s="40">
        <f t="shared" si="37"/>
        <v>3155699.5410000002</v>
      </c>
      <c r="AE43" s="40">
        <f t="shared" si="37"/>
        <v>2782487.6476799999</v>
      </c>
      <c r="AF43" s="40">
        <f t="shared" si="37"/>
        <v>2790402.5576799996</v>
      </c>
      <c r="AG43" s="40">
        <f t="shared" si="37"/>
        <v>0</v>
      </c>
      <c r="AH43" s="40">
        <f t="shared" si="37"/>
        <v>0</v>
      </c>
      <c r="AI43" s="40">
        <f t="shared" si="37"/>
        <v>2790402.5576799996</v>
      </c>
      <c r="AJ43" s="52"/>
      <c r="AK43" s="52"/>
      <c r="AL43" s="164"/>
    </row>
    <row r="44" spans="2:39" x14ac:dyDescent="0.25">
      <c r="B44" s="10" t="s">
        <v>69</v>
      </c>
      <c r="C44" s="42">
        <v>210809.535</v>
      </c>
      <c r="D44" s="42">
        <v>125482.443</v>
      </c>
      <c r="E44" s="42">
        <v>170357.098</v>
      </c>
      <c r="F44" s="42">
        <v>214725.18400000001</v>
      </c>
      <c r="G44" s="42">
        <v>252272.68100000001</v>
      </c>
      <c r="H44" s="42">
        <v>350452.049</v>
      </c>
      <c r="I44" s="24">
        <v>381435.13</v>
      </c>
      <c r="J44" s="24">
        <v>412837.59500000003</v>
      </c>
      <c r="K44" s="24">
        <v>476544.18240440002</v>
      </c>
      <c r="L44" s="24">
        <v>39571.599999999999</v>
      </c>
      <c r="M44" s="24">
        <v>116006.68592</v>
      </c>
      <c r="N44" s="24">
        <v>169112.90866000002</v>
      </c>
      <c r="O44" s="24">
        <v>223558.46245570891</v>
      </c>
      <c r="P44" s="24">
        <v>267452.35064999998</v>
      </c>
      <c r="Q44" s="24">
        <v>293932.83415000001</v>
      </c>
      <c r="R44" s="24">
        <v>338058.47406793333</v>
      </c>
      <c r="S44" s="24">
        <v>379639.87520000007</v>
      </c>
      <c r="T44" s="24">
        <v>430820.97167</v>
      </c>
      <c r="U44" s="24">
        <f>+[1]balance!$M$36/1000</f>
        <v>523520.18075</v>
      </c>
      <c r="V44" s="24">
        <v>529601.65841999999</v>
      </c>
      <c r="W44" s="24">
        <v>322</v>
      </c>
      <c r="X44" s="24"/>
      <c r="Y44" s="12">
        <f t="shared" si="31"/>
        <v>529923.65841999999</v>
      </c>
      <c r="Z44" s="24">
        <v>78189.204790000003</v>
      </c>
      <c r="AA44" s="24">
        <f>+[2]balance!$L$35/1000</f>
        <v>140337.94801999998</v>
      </c>
      <c r="AB44" s="24">
        <f>+[3]balance!$L$35/1000</f>
        <v>170550.38466000001</v>
      </c>
      <c r="AC44" s="24">
        <f>+[4]balance!$L$36/1000</f>
        <v>200563.89609999998</v>
      </c>
      <c r="AD44" s="24">
        <f>+[5]balance!$L$36/1000</f>
        <v>229728.54633000001</v>
      </c>
      <c r="AE44" s="24">
        <f>+[8]balance!$M$36/1000</f>
        <v>268018.82285</v>
      </c>
      <c r="AF44" s="24">
        <f>+[7]balance!$M$36/1000</f>
        <v>311806.06725999998</v>
      </c>
      <c r="AG44" s="24">
        <v>3</v>
      </c>
      <c r="AH44" s="24"/>
      <c r="AI44" s="12">
        <f t="shared" si="32"/>
        <v>311809.06725999998</v>
      </c>
      <c r="AJ44" s="24"/>
      <c r="AK44" s="24"/>
      <c r="AL44" s="162"/>
    </row>
    <row r="45" spans="2:39" x14ac:dyDescent="0.25">
      <c r="B45" s="10" t="s">
        <v>70</v>
      </c>
      <c r="C45" s="42">
        <v>206528.986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24"/>
      <c r="J45" s="24"/>
      <c r="K45" s="24"/>
      <c r="L45" s="24"/>
      <c r="M45" s="24"/>
      <c r="N45" s="24">
        <v>161400</v>
      </c>
      <c r="O45" s="24">
        <v>161400</v>
      </c>
      <c r="P45" s="24">
        <v>356883.25770999998</v>
      </c>
      <c r="Q45" s="24">
        <v>356883.25770999998</v>
      </c>
      <c r="R45" s="24">
        <v>356883.25770999998</v>
      </c>
      <c r="S45" s="24">
        <v>356883.25770999998</v>
      </c>
      <c r="T45" s="24">
        <v>356883.25770999998</v>
      </c>
      <c r="U45" s="24">
        <f>+[1]balance!$M$39/1000</f>
        <v>356850.61465</v>
      </c>
      <c r="V45" s="24">
        <v>356850.61465</v>
      </c>
      <c r="W45" s="24">
        <v>3289</v>
      </c>
      <c r="X45" s="24"/>
      <c r="Y45" s="12">
        <f t="shared" si="31"/>
        <v>360139.61465</v>
      </c>
      <c r="Z45" s="24">
        <v>0</v>
      </c>
      <c r="AA45" s="24">
        <f>+[2]balance!$L$38/1000</f>
        <v>793868.80938999995</v>
      </c>
      <c r="AB45" s="24">
        <f>+[3]balance!$L$38/1000</f>
        <v>897653.69</v>
      </c>
      <c r="AC45" s="24">
        <f>+[4]balance!$L$39/1000</f>
        <v>897653.69</v>
      </c>
      <c r="AD45" s="24">
        <f>+[5]balance!$L$39/1000</f>
        <v>897653.69</v>
      </c>
      <c r="AE45" s="24">
        <f>+[8]balance!$M$39/1000</f>
        <v>897653.69</v>
      </c>
      <c r="AF45" s="24">
        <f>+[7]balance!$M$39/1000</f>
        <v>897653.69</v>
      </c>
      <c r="AG45" s="24"/>
      <c r="AH45" s="24"/>
      <c r="AI45" s="12">
        <f t="shared" si="32"/>
        <v>897653.69</v>
      </c>
      <c r="AJ45" s="24"/>
      <c r="AK45" s="24"/>
      <c r="AL45" s="162"/>
    </row>
    <row r="46" spans="2:39" s="67" customFormat="1" x14ac:dyDescent="0.25">
      <c r="B46" s="10" t="s">
        <v>71</v>
      </c>
      <c r="C46" s="42">
        <v>130724.836</v>
      </c>
      <c r="D46" s="42">
        <v>36000</v>
      </c>
      <c r="E46" s="42">
        <v>70272.217999999993</v>
      </c>
      <c r="F46" s="42">
        <v>89135.271999999997</v>
      </c>
      <c r="G46" s="42">
        <v>104998.327</v>
      </c>
      <c r="H46" s="42">
        <v>147018.981</v>
      </c>
      <c r="I46" s="24">
        <v>158791.70000000001</v>
      </c>
      <c r="J46" s="24">
        <v>163273.527</v>
      </c>
      <c r="K46" s="24">
        <v>177214.436346954</v>
      </c>
      <c r="L46" s="24">
        <v>11781.5</v>
      </c>
      <c r="M46" s="24">
        <v>23563.63636</v>
      </c>
      <c r="N46" s="24">
        <v>41245.454539999999</v>
      </c>
      <c r="O46" s="24">
        <v>53527.272720000001</v>
      </c>
      <c r="P46" s="24">
        <v>72539.295900000012</v>
      </c>
      <c r="Q46" s="24">
        <v>108039.29590000001</v>
      </c>
      <c r="R46" s="24">
        <v>134412.02318000002</v>
      </c>
      <c r="S46" s="24">
        <v>159585.76591999998</v>
      </c>
      <c r="T46" s="24">
        <v>191022.01137999998</v>
      </c>
      <c r="U46" s="24">
        <f>+[1]balance!$M$35/1000</f>
        <v>287324.79619999998</v>
      </c>
      <c r="V46" s="24">
        <v>318344.37774999999</v>
      </c>
      <c r="W46" s="24">
        <v>0</v>
      </c>
      <c r="X46" s="24"/>
      <c r="Y46" s="12">
        <f t="shared" si="31"/>
        <v>318344.37774999999</v>
      </c>
      <c r="Z46" s="24">
        <v>146890.90909999999</v>
      </c>
      <c r="AA46" s="24">
        <f>+[2]balance!$L$34/1000</f>
        <v>243818.18184</v>
      </c>
      <c r="AB46" s="24">
        <f>+[3]balance!$L$34/1000</f>
        <v>291281.81821</v>
      </c>
      <c r="AC46" s="24">
        <f>+[4]balance!$L$35/1000</f>
        <v>337245.45457999996</v>
      </c>
      <c r="AD46" s="24">
        <f>+[5]balance!$L$35/1000</f>
        <v>404118.18185999995</v>
      </c>
      <c r="AE46" s="24">
        <f>+[8]balance!$M$35/1000</f>
        <v>447377.27273999999</v>
      </c>
      <c r="AF46" s="24">
        <f>+[7]balance!$M$35/1000</f>
        <v>510250</v>
      </c>
      <c r="AG46" s="24"/>
      <c r="AH46" s="24"/>
      <c r="AI46" s="12">
        <f t="shared" si="32"/>
        <v>510250</v>
      </c>
      <c r="AJ46" s="71"/>
      <c r="AK46" s="71"/>
      <c r="AL46" s="165"/>
    </row>
    <row r="47" spans="2:39" x14ac:dyDescent="0.25">
      <c r="B47" s="10" t="s">
        <v>72</v>
      </c>
      <c r="C47" s="42">
        <v>109170.79700000001</v>
      </c>
      <c r="D47" s="42">
        <v>30000</v>
      </c>
      <c r="E47" s="42">
        <v>40600</v>
      </c>
      <c r="F47" s="42">
        <v>55250</v>
      </c>
      <c r="G47" s="42">
        <v>66900</v>
      </c>
      <c r="H47" s="42">
        <v>97350</v>
      </c>
      <c r="I47" s="24">
        <v>105000</v>
      </c>
      <c r="J47" s="24">
        <v>109850</v>
      </c>
      <c r="K47" s="24">
        <v>122500</v>
      </c>
      <c r="L47" s="24">
        <v>7000</v>
      </c>
      <c r="M47" s="24">
        <v>14000</v>
      </c>
      <c r="N47" s="24">
        <v>21000</v>
      </c>
      <c r="O47" s="24">
        <v>28000</v>
      </c>
      <c r="P47" s="24">
        <v>35000</v>
      </c>
      <c r="Q47" s="24">
        <v>46000</v>
      </c>
      <c r="R47" s="24">
        <v>53000</v>
      </c>
      <c r="S47" s="24">
        <v>60000</v>
      </c>
      <c r="T47" s="24">
        <v>67000</v>
      </c>
      <c r="U47" s="24">
        <f>+[1]balance!$M$34/1000</f>
        <v>81300</v>
      </c>
      <c r="V47" s="24">
        <v>88000</v>
      </c>
      <c r="W47" s="24">
        <v>0</v>
      </c>
      <c r="X47" s="24"/>
      <c r="Y47" s="12">
        <f t="shared" si="31"/>
        <v>88000</v>
      </c>
      <c r="Z47" s="24">
        <v>89454.545459999994</v>
      </c>
      <c r="AA47" s="24">
        <f>+[2]balance!$L$33/1000</f>
        <v>183998.93236999999</v>
      </c>
      <c r="AB47" s="24">
        <f>+[3]balance!$L$33/1000</f>
        <v>211817.11418999999</v>
      </c>
      <c r="AC47" s="24">
        <f>+[4]balance!$L$34/1000</f>
        <v>239635.29600999999</v>
      </c>
      <c r="AD47" s="24">
        <f>+[5]balance!$L$34/1000</f>
        <v>302157.48781999998</v>
      </c>
      <c r="AE47" s="24">
        <f>+[8]balance!$M$34/1000</f>
        <v>324587.16055000003</v>
      </c>
      <c r="AF47" s="24">
        <f>+[7]balance!$M$34/1000</f>
        <v>284355.27275</v>
      </c>
      <c r="AG47" s="24"/>
      <c r="AH47" s="24"/>
      <c r="AI47" s="12">
        <f t="shared" si="32"/>
        <v>284355.27275</v>
      </c>
      <c r="AJ47" s="24"/>
      <c r="AK47" s="24"/>
      <c r="AL47" s="162"/>
    </row>
    <row r="48" spans="2:39" x14ac:dyDescent="0.25">
      <c r="B48" s="10" t="s">
        <v>73</v>
      </c>
      <c r="C48" s="42"/>
      <c r="D48" s="42">
        <v>0</v>
      </c>
      <c r="E48" s="42"/>
      <c r="F48" s="42"/>
      <c r="G48" s="42"/>
      <c r="H48" s="42"/>
      <c r="I48" s="24"/>
      <c r="J48" s="24">
        <v>501328.83500000002</v>
      </c>
      <c r="K48" s="24">
        <v>695412.02189999993</v>
      </c>
      <c r="L48" s="24">
        <v>0</v>
      </c>
      <c r="M48" s="24"/>
      <c r="N48" s="24">
        <v>0</v>
      </c>
      <c r="O48" s="24">
        <v>0</v>
      </c>
      <c r="P48" s="24"/>
      <c r="Q48" s="24">
        <v>91742</v>
      </c>
      <c r="R48" s="24">
        <v>91742</v>
      </c>
      <c r="S48" s="24">
        <v>91742</v>
      </c>
      <c r="T48" s="24">
        <v>385402</v>
      </c>
      <c r="U48" s="24"/>
      <c r="V48" s="24"/>
      <c r="W48" s="24"/>
      <c r="X48" s="24"/>
      <c r="Y48" s="12">
        <f t="shared" si="31"/>
        <v>0</v>
      </c>
      <c r="Z48" s="24"/>
      <c r="AA48" s="24"/>
      <c r="AB48" s="24"/>
      <c r="AC48" s="24"/>
      <c r="AD48" s="24"/>
      <c r="AE48" s="24"/>
      <c r="AF48" s="24"/>
      <c r="AG48" s="24"/>
      <c r="AH48" s="24"/>
      <c r="AI48" s="12">
        <f t="shared" si="32"/>
        <v>0</v>
      </c>
      <c r="AJ48" s="24"/>
      <c r="AK48" s="24"/>
      <c r="AL48" s="162"/>
    </row>
    <row r="49" spans="2:38" x14ac:dyDescent="0.25">
      <c r="B49" s="73" t="s">
        <v>74</v>
      </c>
      <c r="C49" s="74">
        <f t="shared" ref="C49:J49" si="38">SUM(C43:C48)</f>
        <v>4704164.3339999998</v>
      </c>
      <c r="D49" s="74">
        <f t="shared" si="38"/>
        <v>191482.443</v>
      </c>
      <c r="E49" s="74">
        <f t="shared" si="38"/>
        <v>281229.31599999999</v>
      </c>
      <c r="F49" s="74">
        <f t="shared" si="38"/>
        <v>359110.45600000001</v>
      </c>
      <c r="G49" s="74">
        <f t="shared" si="38"/>
        <v>424171.00800000003</v>
      </c>
      <c r="H49" s="74">
        <f t="shared" si="38"/>
        <v>594821.03</v>
      </c>
      <c r="I49" s="74">
        <f t="shared" si="38"/>
        <v>645226.83000000007</v>
      </c>
      <c r="J49" s="74">
        <f t="shared" si="38"/>
        <v>1287114.7069999999</v>
      </c>
      <c r="K49" s="74">
        <f>SUM(K43:K48)</f>
        <v>2435767.8567113555</v>
      </c>
      <c r="L49" s="74">
        <f t="shared" ref="L49:S49" si="39">SUM(L43:L48)</f>
        <v>58353.1</v>
      </c>
      <c r="M49" s="74">
        <f t="shared" si="39"/>
        <v>153570.32227999999</v>
      </c>
      <c r="N49" s="74">
        <f t="shared" si="39"/>
        <v>392758.36320000002</v>
      </c>
      <c r="O49" s="74">
        <f t="shared" si="39"/>
        <v>466485.73517570889</v>
      </c>
      <c r="P49" s="74">
        <f t="shared" si="39"/>
        <v>731874.90425999998</v>
      </c>
      <c r="Q49" s="74">
        <f t="shared" si="39"/>
        <v>896597.38776000007</v>
      </c>
      <c r="R49" s="74">
        <f t="shared" si="39"/>
        <v>974095.75495793333</v>
      </c>
      <c r="S49" s="74">
        <f t="shared" si="39"/>
        <v>1047850.8988300001</v>
      </c>
      <c r="T49" s="74">
        <f>SUM(T43:T48)</f>
        <v>1431128.24076</v>
      </c>
      <c r="U49" s="74">
        <f t="shared" ref="U49:AD49" si="40">SUM(U43:U48)</f>
        <v>1634397.5916000002</v>
      </c>
      <c r="V49" s="74">
        <f t="shared" ref="V49" si="41">SUM(V43:V48)</f>
        <v>3678198.6508200001</v>
      </c>
      <c r="W49" s="74">
        <f>SUM(W43:W48)</f>
        <v>152337</v>
      </c>
      <c r="X49" s="74"/>
      <c r="Y49" s="74">
        <f t="shared" si="40"/>
        <v>3830535.6508200001</v>
      </c>
      <c r="Z49" s="74">
        <f t="shared" si="40"/>
        <v>403598.72516999999</v>
      </c>
      <c r="AA49" s="74">
        <f t="shared" si="40"/>
        <v>2579968.4904200002</v>
      </c>
      <c r="AB49" s="74">
        <f t="shared" si="40"/>
        <v>2804713.90986</v>
      </c>
      <c r="AC49" s="74">
        <f t="shared" si="40"/>
        <v>4830797.8776899995</v>
      </c>
      <c r="AD49" s="74">
        <f t="shared" si="40"/>
        <v>4989357.4470100002</v>
      </c>
      <c r="AE49" s="74">
        <f>SUM(AE43:AE48)</f>
        <v>4720124.5938200001</v>
      </c>
      <c r="AF49" s="74">
        <f>SUM(AF43:AF48)</f>
        <v>4794467.5876899995</v>
      </c>
      <c r="AG49" s="74">
        <f t="shared" ref="AG49" si="42">SUM(AG43:AG48)</f>
        <v>3</v>
      </c>
      <c r="AH49" s="74"/>
      <c r="AI49" s="74">
        <f t="shared" ref="AI49" si="43">SUM(AI43:AI48)</f>
        <v>4794470.5876899995</v>
      </c>
      <c r="AJ49" s="40"/>
      <c r="AK49" s="24"/>
      <c r="AL49" s="162"/>
    </row>
    <row r="50" spans="2:38" s="63" customFormat="1" x14ac:dyDescent="0.3">
      <c r="B50" s="10" t="s">
        <v>75</v>
      </c>
      <c r="C50" s="11">
        <v>245996.448</v>
      </c>
      <c r="D50" s="11">
        <v>104513.30100000001</v>
      </c>
      <c r="E50" s="11">
        <v>135981.61199999999</v>
      </c>
      <c r="F50" s="11">
        <v>293946.55299999996</v>
      </c>
      <c r="G50" s="11">
        <v>327344.375</v>
      </c>
      <c r="H50" s="11">
        <v>427185.07299999997</v>
      </c>
      <c r="I50" s="45">
        <v>457623.5</v>
      </c>
      <c r="J50" s="45">
        <v>488485.92600000004</v>
      </c>
      <c r="K50" s="45">
        <v>560732.89043999999</v>
      </c>
      <c r="L50" s="45">
        <v>36879</v>
      </c>
      <c r="M50" s="45">
        <v>66164.792600000015</v>
      </c>
      <c r="N50" s="45">
        <f>612466.16349-455885</f>
        <v>156581.16348999995</v>
      </c>
      <c r="O50" s="45">
        <v>139865.74612999998</v>
      </c>
      <c r="P50" s="45">
        <v>170883.25617000001</v>
      </c>
      <c r="Q50" s="45">
        <v>576803.09973000002</v>
      </c>
      <c r="R50" s="45">
        <v>627510.90604999999</v>
      </c>
      <c r="S50" s="45">
        <v>673264.84541000007</v>
      </c>
      <c r="T50" s="45">
        <v>808720.90608999995</v>
      </c>
      <c r="U50" s="45">
        <f>+[1]balance!$M$47/1000</f>
        <v>316191.39423999999</v>
      </c>
      <c r="V50" s="45">
        <v>375573.36300999997</v>
      </c>
      <c r="W50" s="45">
        <v>69197.292090000003</v>
      </c>
      <c r="X50" s="45"/>
      <c r="Y50" s="12">
        <f t="shared" ref="Y50:Y52" si="44">+V50+W50</f>
        <v>444770.65509999997</v>
      </c>
      <c r="Z50" s="45">
        <v>148777.67146000001</v>
      </c>
      <c r="AA50" s="45">
        <f>+[2]balance!$L$46/1000</f>
        <v>254559.04746</v>
      </c>
      <c r="AB50" s="45">
        <f>+[3]balance!$L$46/1000</f>
        <v>307054.83555000002</v>
      </c>
      <c r="AC50" s="45">
        <f>+[4]balance!$L$47/1000</f>
        <v>358502.05962999997</v>
      </c>
      <c r="AD50" s="45">
        <f>+[5]balance!$L$47/1000</f>
        <v>652135.90710000007</v>
      </c>
      <c r="AE50" s="45">
        <f>+[8]balance!$M$47/1000</f>
        <v>707017.77351999993</v>
      </c>
      <c r="AF50" s="45">
        <f>+[7]balance!$M$47/1000</f>
        <v>858118.79146000009</v>
      </c>
      <c r="AG50" s="45">
        <v>3225.6</v>
      </c>
      <c r="AH50" s="45"/>
      <c r="AI50" s="12">
        <f t="shared" ref="AI50:AI52" si="45">+AF50+AG50</f>
        <v>861344.39146000007</v>
      </c>
      <c r="AJ50" s="45"/>
      <c r="AK50" s="45"/>
      <c r="AL50" s="163"/>
    </row>
    <row r="51" spans="2:38" x14ac:dyDescent="0.25">
      <c r="B51" s="10" t="s">
        <v>76</v>
      </c>
      <c r="C51" s="42">
        <v>890137.77200000011</v>
      </c>
      <c r="D51" s="42">
        <v>268543.46899999998</v>
      </c>
      <c r="E51" s="42">
        <v>354377.34900000005</v>
      </c>
      <c r="F51" s="42">
        <v>417286.73800000001</v>
      </c>
      <c r="G51" s="42">
        <v>666120.86899999995</v>
      </c>
      <c r="H51" s="42">
        <v>888717.63800000015</v>
      </c>
      <c r="I51" s="24">
        <v>938252.97499999998</v>
      </c>
      <c r="J51" s="24">
        <v>1006387.422</v>
      </c>
      <c r="K51" s="24">
        <f>+K67</f>
        <v>1144322.7590799998</v>
      </c>
      <c r="L51" s="24">
        <f>+L67</f>
        <v>57357.8</v>
      </c>
      <c r="M51" s="24">
        <f>+M67</f>
        <v>131260.10503999999</v>
      </c>
      <c r="N51" s="24">
        <f>+N67</f>
        <v>226320.94989999998</v>
      </c>
      <c r="O51" s="24">
        <f t="shared" ref="O51:AE51" si="46">+O67</f>
        <v>313044.67720999999</v>
      </c>
      <c r="P51" s="24">
        <f t="shared" si="46"/>
        <v>388254.45815000002</v>
      </c>
      <c r="Q51" s="24">
        <f t="shared" si="46"/>
        <v>537061.82761000004</v>
      </c>
      <c r="R51" s="24">
        <f t="shared" si="46"/>
        <v>589929.35262999998</v>
      </c>
      <c r="S51" s="24">
        <f t="shared" si="46"/>
        <v>722856.47220000008</v>
      </c>
      <c r="T51" s="24">
        <f t="shared" si="46"/>
        <v>817861.07735000015</v>
      </c>
      <c r="U51" s="24">
        <f t="shared" si="46"/>
        <v>1673431.89332</v>
      </c>
      <c r="V51" s="24">
        <f t="shared" ref="V51" si="47">+V67</f>
        <v>1959630.0286599994</v>
      </c>
      <c r="W51" s="24">
        <v>134266</v>
      </c>
      <c r="X51" s="24"/>
      <c r="Y51" s="12">
        <f t="shared" si="44"/>
        <v>2093896.0286599994</v>
      </c>
      <c r="Z51" s="24">
        <f t="shared" si="46"/>
        <v>474278.03011999989</v>
      </c>
      <c r="AA51" s="24">
        <f t="shared" si="46"/>
        <v>690986.59973999998</v>
      </c>
      <c r="AB51" s="24">
        <f t="shared" si="46"/>
        <v>1030812.2615399999</v>
      </c>
      <c r="AC51" s="24">
        <f t="shared" si="46"/>
        <v>1239673.7164999999</v>
      </c>
      <c r="AD51" s="24">
        <f t="shared" si="46"/>
        <v>1392020.7503799999</v>
      </c>
      <c r="AE51" s="24">
        <f t="shared" si="46"/>
        <v>1894691.6049899999</v>
      </c>
      <c r="AF51" s="24">
        <f>+AF67</f>
        <v>2299476.5902499999</v>
      </c>
      <c r="AG51" s="24">
        <f>12447+7292-3225.6+180</f>
        <v>16693.400000000001</v>
      </c>
      <c r="AH51" s="24"/>
      <c r="AI51" s="12">
        <f t="shared" si="45"/>
        <v>2316169.9902499998</v>
      </c>
      <c r="AJ51" s="24"/>
      <c r="AK51" s="24"/>
      <c r="AL51" s="162"/>
    </row>
    <row r="52" spans="2:38" x14ac:dyDescent="0.25">
      <c r="B52" s="10" t="s">
        <v>77</v>
      </c>
      <c r="C52" s="42">
        <v>87177.414000000004</v>
      </c>
      <c r="D52" s="42">
        <v>5984.2244000000001</v>
      </c>
      <c r="E52" s="42">
        <v>5666.6390000000001</v>
      </c>
      <c r="F52" s="42">
        <v>5722.1469999999999</v>
      </c>
      <c r="G52" s="42">
        <v>6216.9830000000002</v>
      </c>
      <c r="H52" s="42">
        <v>70267.065000000002</v>
      </c>
      <c r="I52" s="24">
        <v>83521.59</v>
      </c>
      <c r="J52" s="24">
        <v>97233.361000000004</v>
      </c>
      <c r="K52" s="24">
        <f>+K82</f>
        <v>117629.13291999999</v>
      </c>
      <c r="L52" s="24">
        <f>+L82</f>
        <v>971</v>
      </c>
      <c r="M52" s="24">
        <f>+M82</f>
        <v>22099.934069999999</v>
      </c>
      <c r="N52" s="24">
        <f>+N82</f>
        <v>54319.214979999997</v>
      </c>
      <c r="O52" s="24">
        <f t="shared" ref="O52:AE52" si="48">+O82</f>
        <v>86876.098169999983</v>
      </c>
      <c r="P52" s="24">
        <f t="shared" si="48"/>
        <v>124752.0595</v>
      </c>
      <c r="Q52" s="24">
        <f t="shared" si="48"/>
        <v>156000.84539999999</v>
      </c>
      <c r="R52" s="24">
        <f t="shared" si="48"/>
        <v>191599.57377999998</v>
      </c>
      <c r="S52" s="24">
        <f t="shared" si="48"/>
        <v>228123.52067</v>
      </c>
      <c r="T52" s="24">
        <f t="shared" si="48"/>
        <v>266489.80110999994</v>
      </c>
      <c r="U52" s="24">
        <f t="shared" si="48"/>
        <v>329166.29953000002</v>
      </c>
      <c r="V52" s="24">
        <f t="shared" ref="V52" si="49">+V82</f>
        <v>397262.80229000002</v>
      </c>
      <c r="W52" s="24">
        <v>14827</v>
      </c>
      <c r="X52" s="24"/>
      <c r="Y52" s="12">
        <f t="shared" si="44"/>
        <v>412089.80229000002</v>
      </c>
      <c r="Z52" s="24">
        <f t="shared" si="48"/>
        <v>159586.71739999999</v>
      </c>
      <c r="AA52" s="24">
        <f t="shared" si="48"/>
        <v>248130.00620999999</v>
      </c>
      <c r="AB52" s="24">
        <f t="shared" si="48"/>
        <v>325556.67803000001</v>
      </c>
      <c r="AC52" s="24">
        <f t="shared" si="48"/>
        <v>375983.29293</v>
      </c>
      <c r="AD52" s="24">
        <f t="shared" si="48"/>
        <v>413872.28351999994</v>
      </c>
      <c r="AE52" s="24">
        <f t="shared" si="48"/>
        <v>485896.05992999999</v>
      </c>
      <c r="AF52" s="24">
        <f>+AF82</f>
        <v>592366.80387000006</v>
      </c>
      <c r="AG52" s="24"/>
      <c r="AH52" s="24"/>
      <c r="AI52" s="12">
        <f t="shared" si="45"/>
        <v>592366.80387000006</v>
      </c>
      <c r="AJ52" s="24"/>
      <c r="AK52" s="24"/>
      <c r="AL52" s="162"/>
    </row>
    <row r="53" spans="2:38" x14ac:dyDescent="0.25">
      <c r="B53" s="73" t="s">
        <v>78</v>
      </c>
      <c r="C53" s="74">
        <v>1223311.6340000003</v>
      </c>
      <c r="D53" s="74">
        <f>SUM(D50:D52)</f>
        <v>379040.99440000003</v>
      </c>
      <c r="E53" s="75">
        <v>496025.60000000003</v>
      </c>
      <c r="F53" s="75">
        <v>716955.43799999997</v>
      </c>
      <c r="G53" s="75">
        <f t="shared" ref="G53:J53" si="50">SUM(G50:G52)</f>
        <v>999682.22699999996</v>
      </c>
      <c r="H53" s="75">
        <f t="shared" si="50"/>
        <v>1386169.7760000001</v>
      </c>
      <c r="I53" s="75">
        <f t="shared" si="50"/>
        <v>1479398.0650000002</v>
      </c>
      <c r="J53" s="75">
        <f t="shared" si="50"/>
        <v>1592106.709</v>
      </c>
      <c r="K53" s="75">
        <f>SUM(K50:K52)</f>
        <v>1822684.7824399997</v>
      </c>
      <c r="L53" s="75">
        <f t="shared" ref="L53:S53" si="51">SUM(L50:L52)</f>
        <v>95207.8</v>
      </c>
      <c r="M53" s="75">
        <f t="shared" si="51"/>
        <v>219524.83171</v>
      </c>
      <c r="N53" s="75">
        <f t="shared" si="51"/>
        <v>437221.32836999994</v>
      </c>
      <c r="O53" s="75">
        <f t="shared" si="51"/>
        <v>539786.52150999999</v>
      </c>
      <c r="P53" s="75">
        <f t="shared" si="51"/>
        <v>683889.77382</v>
      </c>
      <c r="Q53" s="75">
        <f t="shared" si="51"/>
        <v>1269865.7727399999</v>
      </c>
      <c r="R53" s="75">
        <f t="shared" si="51"/>
        <v>1409039.8324599999</v>
      </c>
      <c r="S53" s="75">
        <f t="shared" si="51"/>
        <v>1624244.8382800003</v>
      </c>
      <c r="T53" s="75">
        <f>SUM(T50:T52)</f>
        <v>1893071.78455</v>
      </c>
      <c r="U53" s="75">
        <f t="shared" ref="U53:AG53" si="52">SUM(U50:U52)</f>
        <v>2318789.58709</v>
      </c>
      <c r="V53" s="75">
        <f t="shared" ref="V53" si="53">SUM(V50:V52)</f>
        <v>2732466.1939599994</v>
      </c>
      <c r="W53" s="75">
        <f>SUM(W50:W52)</f>
        <v>218290.29209</v>
      </c>
      <c r="X53" s="75"/>
      <c r="Y53" s="75">
        <f t="shared" ref="Y53" si="54">SUM(Y50:Y52)</f>
        <v>2950756.4860499995</v>
      </c>
      <c r="Z53" s="75">
        <f t="shared" si="52"/>
        <v>782642.41897999984</v>
      </c>
      <c r="AA53" s="75">
        <f t="shared" si="52"/>
        <v>1193675.65341</v>
      </c>
      <c r="AB53" s="75">
        <f t="shared" si="52"/>
        <v>1663423.7751199999</v>
      </c>
      <c r="AC53" s="75">
        <f t="shared" si="52"/>
        <v>1974159.0690599999</v>
      </c>
      <c r="AD53" s="75">
        <f t="shared" si="52"/>
        <v>2458028.9410000001</v>
      </c>
      <c r="AE53" s="75">
        <f t="shared" si="52"/>
        <v>3087605.4384399997</v>
      </c>
      <c r="AF53" s="75">
        <f t="shared" si="52"/>
        <v>3749962.1855799998</v>
      </c>
      <c r="AG53" s="75">
        <f t="shared" si="52"/>
        <v>19919</v>
      </c>
      <c r="AH53" s="75"/>
      <c r="AI53" s="75">
        <f t="shared" ref="AI53" si="55">SUM(AI50:AI52)</f>
        <v>3769881.1855799998</v>
      </c>
      <c r="AJ53" s="149"/>
      <c r="AK53" s="24"/>
      <c r="AL53" s="162"/>
    </row>
    <row r="54" spans="2:38" s="63" customFormat="1" x14ac:dyDescent="0.3">
      <c r="B54" s="34" t="s">
        <v>79</v>
      </c>
      <c r="C54" s="46"/>
      <c r="D54" s="46"/>
      <c r="E54" s="46"/>
      <c r="F54" s="46"/>
      <c r="G54" s="46"/>
      <c r="H54" s="46">
        <v>147911.53599999999</v>
      </c>
      <c r="I54" s="47">
        <f>106683.63-[9]balance!E121/1000</f>
        <v>106683.63</v>
      </c>
      <c r="J54" s="47">
        <f>106683.63-[9]balance!E121/1000</f>
        <v>106683.63</v>
      </c>
      <c r="K54" s="47">
        <v>-249130.62844000003</v>
      </c>
      <c r="L54" s="47"/>
      <c r="M54" s="47"/>
      <c r="N54" s="47"/>
      <c r="O54" s="47"/>
      <c r="P54" s="47">
        <v>37039.817929999997</v>
      </c>
      <c r="Q54" s="47">
        <v>100141.66975</v>
      </c>
      <c r="R54" s="47">
        <v>100142.68973</v>
      </c>
      <c r="S54" s="47">
        <v>100142.68973</v>
      </c>
      <c r="T54" s="47">
        <v>102488.0529</v>
      </c>
      <c r="U54" s="47">
        <f>+[1]balance!$M$41/1000+[1]balance!$M$55/1000</f>
        <v>95568.169700000013</v>
      </c>
      <c r="V54" s="47">
        <v>283854.46372999996</v>
      </c>
      <c r="W54" s="47">
        <v>626</v>
      </c>
      <c r="X54" s="47"/>
      <c r="Y54" s="12">
        <f t="shared" ref="Y54:Y56" si="56">+V54+W54</f>
        <v>284480.46372999996</v>
      </c>
      <c r="Z54" s="47">
        <v>31227.335800000001</v>
      </c>
      <c r="AA54" s="47">
        <f>+[2]balance!$L$40/1000+[2]balance!$L$53/1000</f>
        <v>-35014.684459999997</v>
      </c>
      <c r="AB54" s="47">
        <f>+[3]balance!$L$40/1000+[3]balance!$L$53/1000-1555</f>
        <v>-63439.373330000002</v>
      </c>
      <c r="AC54" s="47">
        <f>+[4]balance!$L$41/1000+[4]balance!$L$54/1000</f>
        <v>-27523.137450000009</v>
      </c>
      <c r="AD54" s="47">
        <f>+[5]balance!$L$41/1000+[5]balance!$L$54/1000</f>
        <v>-42380.761270000003</v>
      </c>
      <c r="AE54" s="47">
        <f>+[8]balance!$M$41/1000+[8]balance!$M$54/1000+[8]balance!$M$55/1000</f>
        <v>-66491.683309999993</v>
      </c>
      <c r="AF54" s="47">
        <f>+[7]balance!$M$41/1000+[7]balance!$M$54/1000+[7]balance!$M$55/1000</f>
        <v>-155719.05650000001</v>
      </c>
      <c r="AG54" s="47"/>
      <c r="AH54" s="47"/>
      <c r="AI54" s="12">
        <f t="shared" ref="AI54:AI58" si="57">+AF54+AG54</f>
        <v>-155719.05650000001</v>
      </c>
      <c r="AJ54" s="45"/>
      <c r="AK54" s="45"/>
      <c r="AL54" s="163"/>
    </row>
    <row r="55" spans="2:38" x14ac:dyDescent="0.25">
      <c r="B55" s="10" t="s">
        <v>80</v>
      </c>
      <c r="C55" s="42">
        <v>89090.438999999998</v>
      </c>
      <c r="D55" s="42">
        <v>959194.06099999999</v>
      </c>
      <c r="E55" s="42">
        <v>908574.022</v>
      </c>
      <c r="F55" s="42">
        <v>883944.9659999999</v>
      </c>
      <c r="G55" s="42">
        <v>851008.83239999996</v>
      </c>
      <c r="H55" s="42">
        <v>1150830.8090000001</v>
      </c>
      <c r="I55" s="24">
        <v>1226957.2779999999</v>
      </c>
      <c r="J55" s="24">
        <v>1301976.1430000002</v>
      </c>
      <c r="K55" s="24">
        <v>482075.6448999999</v>
      </c>
      <c r="L55" s="24">
        <v>-41773</v>
      </c>
      <c r="M55" s="24">
        <v>-26832.74303999999</v>
      </c>
      <c r="N55" s="24">
        <v>-55120.723880000005</v>
      </c>
      <c r="O55" s="24">
        <v>-89738.592799999999</v>
      </c>
      <c r="P55" s="24">
        <v>-107907.78848000002</v>
      </c>
      <c r="Q55" s="24">
        <v>-158302.60871999999</v>
      </c>
      <c r="R55" s="24">
        <v>-69152.200789999959</v>
      </c>
      <c r="S55" s="24">
        <v>-78574.020109999983</v>
      </c>
      <c r="T55" s="24">
        <v>-49659.542459999975</v>
      </c>
      <c r="U55" s="24">
        <f>+[1]balance!$M$42/1000+[1]balance!$M$43/1000+[1]balance!$M$52/1000</f>
        <v>1028.78189</v>
      </c>
      <c r="V55" s="24">
        <v>-98504.679790000009</v>
      </c>
      <c r="W55" s="24">
        <v>-169.4</v>
      </c>
      <c r="X55" s="24"/>
      <c r="Y55" s="12">
        <f t="shared" si="56"/>
        <v>-98674.079790000003</v>
      </c>
      <c r="Z55" s="24">
        <v>-8568.2589000000044</v>
      </c>
      <c r="AA55" s="24">
        <f>+[2]balance!$L$41/1000+[2]balance!$L$51/1000</f>
        <v>-4026.6360399999976</v>
      </c>
      <c r="AB55" s="24">
        <f>+[3]balance!$L$51/1000+[3]balance!$L$41/1000</f>
        <v>11885.547520000007</v>
      </c>
      <c r="AC55" s="24">
        <f>+[4]balance!$L$42/1000+[4]balance!$L$52/1000+[4]balance!$L$43/1000</f>
        <v>11845.255459999988</v>
      </c>
      <c r="AD55" s="24">
        <f>+[5]balance!$L$42/1000+[5]balance!$L$43/1000+[5]balance!$L$52/1000</f>
        <v>15110.659570000003</v>
      </c>
      <c r="AE55" s="24">
        <f>+[8]balance!$M$42/1000+[8]balance!$M$43/1000+[8]balance!$M$52/1000</f>
        <v>40581.867239999992</v>
      </c>
      <c r="AF55" s="24">
        <f>+[7]balance!$M$42/1000+[7]balance!$M$43/1000+[7]balance!$M$52/1000</f>
        <v>50328.290789999999</v>
      </c>
      <c r="AG55" s="24"/>
      <c r="AH55" s="24"/>
      <c r="AI55" s="12">
        <f t="shared" si="57"/>
        <v>50328.290789999999</v>
      </c>
      <c r="AJ55" s="24"/>
      <c r="AK55" s="24"/>
      <c r="AL55" s="162"/>
    </row>
    <row r="56" spans="2:38" x14ac:dyDescent="0.25">
      <c r="B56" s="21" t="s">
        <v>81</v>
      </c>
      <c r="C56" s="40">
        <f t="shared" ref="C56:T56" si="58">+C54+C55</f>
        <v>89090.438999999998</v>
      </c>
      <c r="D56" s="40">
        <f t="shared" si="58"/>
        <v>959194.06099999999</v>
      </c>
      <c r="E56" s="40">
        <f t="shared" si="58"/>
        <v>908574.022</v>
      </c>
      <c r="F56" s="40">
        <f t="shared" si="58"/>
        <v>883944.9659999999</v>
      </c>
      <c r="G56" s="40">
        <f t="shared" si="58"/>
        <v>851008.83239999996</v>
      </c>
      <c r="H56" s="40">
        <f t="shared" si="58"/>
        <v>1298742.3450000002</v>
      </c>
      <c r="I56" s="40">
        <f t="shared" si="58"/>
        <v>1333640.9079999998</v>
      </c>
      <c r="J56" s="40">
        <f t="shared" si="58"/>
        <v>1408659.773</v>
      </c>
      <c r="K56" s="40">
        <f t="shared" si="58"/>
        <v>232945.01645999987</v>
      </c>
      <c r="L56" s="40">
        <f t="shared" si="58"/>
        <v>-41773</v>
      </c>
      <c r="M56" s="40">
        <f t="shared" si="58"/>
        <v>-26832.74303999999</v>
      </c>
      <c r="N56" s="40">
        <f t="shared" si="58"/>
        <v>-55120.723880000005</v>
      </c>
      <c r="O56" s="40">
        <f t="shared" si="58"/>
        <v>-89738.592799999999</v>
      </c>
      <c r="P56" s="40">
        <f t="shared" si="58"/>
        <v>-70867.970550000027</v>
      </c>
      <c r="Q56" s="40">
        <f t="shared" si="58"/>
        <v>-58160.938969999988</v>
      </c>
      <c r="R56" s="40">
        <f t="shared" si="58"/>
        <v>30990.488940000039</v>
      </c>
      <c r="S56" s="40">
        <f t="shared" si="58"/>
        <v>21568.669620000015</v>
      </c>
      <c r="T56" s="40">
        <f t="shared" si="58"/>
        <v>52828.51044000002</v>
      </c>
      <c r="U56" s="40">
        <f t="shared" ref="U56:AE56" si="59">SUM(U54:U55)</f>
        <v>96596.951590000011</v>
      </c>
      <c r="V56" s="40">
        <f t="shared" ref="V56" si="60">SUM(V54:V55)</f>
        <v>185349.78393999994</v>
      </c>
      <c r="W56" s="40">
        <f>SUM(W54:W55)</f>
        <v>456.6</v>
      </c>
      <c r="X56" s="40"/>
      <c r="Y56" s="12">
        <f t="shared" si="56"/>
        <v>185806.38393999994</v>
      </c>
      <c r="Z56" s="40">
        <f t="shared" si="59"/>
        <v>22659.076899999996</v>
      </c>
      <c r="AA56" s="40">
        <f t="shared" si="59"/>
        <v>-39041.320499999994</v>
      </c>
      <c r="AB56" s="40">
        <f t="shared" si="59"/>
        <v>-51553.825809999995</v>
      </c>
      <c r="AC56" s="40">
        <f t="shared" si="59"/>
        <v>-15677.881990000022</v>
      </c>
      <c r="AD56" s="40">
        <f t="shared" si="59"/>
        <v>-27270.101699999999</v>
      </c>
      <c r="AE56" s="40">
        <f t="shared" si="59"/>
        <v>-25909.816070000001</v>
      </c>
      <c r="AF56" s="40">
        <f>SUM(AF54:AF55)</f>
        <v>-105390.76571000001</v>
      </c>
      <c r="AG56" s="40">
        <f>100-35</f>
        <v>65</v>
      </c>
      <c r="AH56" s="40"/>
      <c r="AI56" s="12">
        <f t="shared" si="57"/>
        <v>-105325.76571000001</v>
      </c>
      <c r="AJ56" s="40"/>
      <c r="AK56" s="24"/>
      <c r="AL56" s="162"/>
    </row>
    <row r="57" spans="2:38" s="68" customFormat="1" x14ac:dyDescent="0.3">
      <c r="B57" s="69" t="s">
        <v>82</v>
      </c>
      <c r="C57" s="40">
        <f>+C49+C56-C53</f>
        <v>3569943.1389999995</v>
      </c>
      <c r="D57" s="40">
        <f>+D49+D56-D53</f>
        <v>771635.50959999999</v>
      </c>
      <c r="E57" s="40">
        <f>+E49+E56-E53</f>
        <v>693777.7379999999</v>
      </c>
      <c r="F57" s="40">
        <f>+F49+F56-F53</f>
        <v>526099.98399999982</v>
      </c>
      <c r="G57" s="40">
        <f>+G49+G56-G53-1</f>
        <v>275496.61340000015</v>
      </c>
      <c r="H57" s="40">
        <f t="shared" ref="H57:S57" si="61">+H49+H56-H53</f>
        <v>507393.59900000016</v>
      </c>
      <c r="I57" s="40">
        <f t="shared" si="61"/>
        <v>499469.67299999972</v>
      </c>
      <c r="J57" s="40">
        <f t="shared" si="61"/>
        <v>1103667.7709999999</v>
      </c>
      <c r="K57" s="40">
        <f t="shared" si="61"/>
        <v>846028.09073135583</v>
      </c>
      <c r="L57" s="40">
        <f t="shared" si="61"/>
        <v>-78627.700000000012</v>
      </c>
      <c r="M57" s="40">
        <f t="shared" si="61"/>
        <v>-92787.252469999992</v>
      </c>
      <c r="N57" s="40">
        <f t="shared" si="61"/>
        <v>-99583.689049999928</v>
      </c>
      <c r="O57" s="40">
        <f t="shared" si="61"/>
        <v>-163039.37913429108</v>
      </c>
      <c r="P57" s="40">
        <f t="shared" si="61"/>
        <v>-22882.84010999999</v>
      </c>
      <c r="Q57" s="40">
        <f t="shared" si="61"/>
        <v>-431429.32394999987</v>
      </c>
      <c r="R57" s="40">
        <f t="shared" si="61"/>
        <v>-403953.58856206655</v>
      </c>
      <c r="S57" s="40">
        <f t="shared" si="61"/>
        <v>-554825.26983000012</v>
      </c>
      <c r="T57" s="40">
        <f>+T49+T56-T53</f>
        <v>-409115.03334999993</v>
      </c>
      <c r="U57" s="40">
        <f>+U49+U56-U53</f>
        <v>-587795.04389999993</v>
      </c>
      <c r="V57" s="40">
        <f t="shared" ref="V57" si="62">+V49+V56-V53</f>
        <v>1131082.2408000007</v>
      </c>
      <c r="W57" s="40">
        <f>+W49+W56-W53</f>
        <v>-65496.692089999997</v>
      </c>
      <c r="X57" s="40"/>
      <c r="Y57" s="40">
        <f t="shared" ref="Y57:AE57" si="63">+Y49+Y56-Y53</f>
        <v>1065585.5487100007</v>
      </c>
      <c r="Z57" s="40">
        <f t="shared" si="63"/>
        <v>-356384.61690999987</v>
      </c>
      <c r="AA57" s="40">
        <f t="shared" si="63"/>
        <v>1347251.5165100002</v>
      </c>
      <c r="AB57" s="40">
        <f t="shared" si="63"/>
        <v>1089736.3089300003</v>
      </c>
      <c r="AC57" s="40">
        <f t="shared" si="63"/>
        <v>2840960.9266400002</v>
      </c>
      <c r="AD57" s="40">
        <f t="shared" si="63"/>
        <v>2504058.4043100006</v>
      </c>
      <c r="AE57" s="40">
        <f t="shared" si="63"/>
        <v>1606609.3393100007</v>
      </c>
      <c r="AF57" s="40">
        <f>+AF49+AF56-AF53</f>
        <v>939114.63639999973</v>
      </c>
      <c r="AG57" s="40">
        <f t="shared" ref="AG57" si="64">+AG49+AG56-AG53</f>
        <v>-19851</v>
      </c>
      <c r="AH57" s="40"/>
      <c r="AI57" s="40">
        <f t="shared" ref="AI57" si="65">+AI49+AI56-AI53</f>
        <v>919263.63639999973</v>
      </c>
      <c r="AJ57" s="47"/>
      <c r="AK57" s="47"/>
      <c r="AL57" s="166"/>
    </row>
    <row r="58" spans="2:38" x14ac:dyDescent="0.25">
      <c r="B58" s="10" t="s">
        <v>83</v>
      </c>
      <c r="C58" s="42">
        <v>336238.38400000002</v>
      </c>
      <c r="D58" s="42">
        <f>+D57*0.1</f>
        <v>77163.550960000008</v>
      </c>
      <c r="E58" s="42">
        <v>69377.773799999995</v>
      </c>
      <c r="F58" s="42">
        <v>52609.998399999982</v>
      </c>
      <c r="G58" s="42">
        <v>57749</v>
      </c>
      <c r="H58" s="42">
        <v>36106.639999999999</v>
      </c>
      <c r="I58" s="24">
        <v>35045.5</v>
      </c>
      <c r="J58" s="24">
        <v>74678.588000000032</v>
      </c>
      <c r="K58" s="24">
        <v>100042.51461113557</v>
      </c>
      <c r="L58" s="24">
        <v>3957</v>
      </c>
      <c r="M58" s="24">
        <v>11600.668592000002</v>
      </c>
      <c r="N58" s="24">
        <v>33051.290866000003</v>
      </c>
      <c r="O58" s="24">
        <v>38419.22179257089</v>
      </c>
      <c r="P58" s="24">
        <v>62430.296535000001</v>
      </c>
      <c r="Q58" s="24">
        <v>64843.808568</v>
      </c>
      <c r="R58" s="24">
        <v>69259.636860793325</v>
      </c>
      <c r="S58" s="24">
        <v>73417.776974000008</v>
      </c>
      <c r="T58" s="24">
        <v>78767.158668000004</v>
      </c>
      <c r="U58" s="24">
        <f>+[1]balance!$M$58/1000</f>
        <v>82894.670750000005</v>
      </c>
      <c r="V58" s="24">
        <v>107277.61618000001</v>
      </c>
      <c r="W58" s="24">
        <v>361</v>
      </c>
      <c r="X58" s="24"/>
      <c r="Y58" s="12">
        <f t="shared" ref="Y58" si="66">+V58+W58</f>
        <v>107638.61618000001</v>
      </c>
      <c r="Z58" s="24">
        <v>7818.9204790000013</v>
      </c>
      <c r="AA58" s="24">
        <f>+[2]balance!$L$56/1000</f>
        <v>136108.22155000002</v>
      </c>
      <c r="AB58" s="24">
        <f>+[3]balance!$L$56/1000</f>
        <v>108409.24840000001</v>
      </c>
      <c r="AC58" s="24">
        <f>+[3]balance!$L$56/1000</f>
        <v>108409.24840000001</v>
      </c>
      <c r="AD58" s="24">
        <f>+[5]balance!$L$57/1000</f>
        <v>136854.73398790907</v>
      </c>
      <c r="AE58" s="24">
        <f>+[8]balance!$M$58/1000</f>
        <v>154886.44144</v>
      </c>
      <c r="AF58" s="24">
        <f>+[7]balance!$M$58/1000</f>
        <v>120945.97470999999</v>
      </c>
      <c r="AG58" s="24">
        <v>0.3</v>
      </c>
      <c r="AH58" s="24"/>
      <c r="AI58" s="12">
        <f t="shared" si="57"/>
        <v>120946.27471</v>
      </c>
      <c r="AJ58" s="24"/>
      <c r="AK58" s="24"/>
      <c r="AL58" s="162"/>
    </row>
    <row r="59" spans="2:38" x14ac:dyDescent="0.25">
      <c r="B59" s="23" t="s">
        <v>84</v>
      </c>
      <c r="C59" s="5">
        <f>+C57-C58</f>
        <v>3233704.7549999994</v>
      </c>
      <c r="D59" s="5">
        <f>+D57-D58</f>
        <v>694471.95863999997</v>
      </c>
      <c r="E59" s="5">
        <f t="shared" ref="E59:J59" si="67">+E57-E58</f>
        <v>624399.96419999993</v>
      </c>
      <c r="F59" s="5">
        <f>+F57-F58</f>
        <v>473489.98559999984</v>
      </c>
      <c r="G59" s="5">
        <f>+G57-G58</f>
        <v>217747.61340000015</v>
      </c>
      <c r="H59" s="5">
        <f t="shared" si="67"/>
        <v>471286.95900000015</v>
      </c>
      <c r="I59" s="5">
        <f t="shared" si="67"/>
        <v>464424.17299999972</v>
      </c>
      <c r="J59" s="5">
        <f t="shared" si="67"/>
        <v>1028989.183</v>
      </c>
      <c r="K59" s="5">
        <f>+K57-K58</f>
        <v>745985.57612022024</v>
      </c>
      <c r="L59" s="5">
        <f t="shared" ref="L59:U59" si="68">+L57-L58</f>
        <v>-82584.700000000012</v>
      </c>
      <c r="M59" s="5">
        <f t="shared" si="68"/>
        <v>-104387.92106199999</v>
      </c>
      <c r="N59" s="5">
        <f t="shared" si="68"/>
        <v>-132634.97991599992</v>
      </c>
      <c r="O59" s="5">
        <f t="shared" si="68"/>
        <v>-201458.60092686198</v>
      </c>
      <c r="P59" s="5">
        <f t="shared" si="68"/>
        <v>-85313.136644999991</v>
      </c>
      <c r="Q59" s="5">
        <f t="shared" si="68"/>
        <v>-496273.13251799985</v>
      </c>
      <c r="R59" s="5">
        <f t="shared" si="68"/>
        <v>-473213.22542285989</v>
      </c>
      <c r="S59" s="5">
        <f t="shared" si="68"/>
        <v>-628243.04680400016</v>
      </c>
      <c r="T59" s="5">
        <f t="shared" si="68"/>
        <v>-487882.19201799994</v>
      </c>
      <c r="U59" s="5">
        <f t="shared" si="68"/>
        <v>-670689.71464999998</v>
      </c>
      <c r="V59" s="5">
        <f t="shared" ref="V59:AI59" si="69">+V57-V58</f>
        <v>1023804.6246200007</v>
      </c>
      <c r="W59" s="5">
        <f t="shared" si="69"/>
        <v>-65857.692089999997</v>
      </c>
      <c r="X59" s="5">
        <f t="shared" si="69"/>
        <v>0</v>
      </c>
      <c r="Y59" s="5">
        <f t="shared" si="69"/>
        <v>957946.93253000069</v>
      </c>
      <c r="Z59" s="5">
        <f t="shared" si="69"/>
        <v>-364203.53738899989</v>
      </c>
      <c r="AA59" s="5">
        <f t="shared" si="69"/>
        <v>1211143.2949600001</v>
      </c>
      <c r="AB59" s="5">
        <f t="shared" si="69"/>
        <v>981327.06053000025</v>
      </c>
      <c r="AC59" s="5">
        <f t="shared" si="69"/>
        <v>2732551.6782400003</v>
      </c>
      <c r="AD59" s="5">
        <f t="shared" si="69"/>
        <v>2367203.6703220913</v>
      </c>
      <c r="AE59" s="5">
        <f t="shared" si="69"/>
        <v>1451722.8978700007</v>
      </c>
      <c r="AF59" s="5">
        <f t="shared" si="69"/>
        <v>818168.66168999975</v>
      </c>
      <c r="AG59" s="5">
        <f t="shared" si="69"/>
        <v>-19851.3</v>
      </c>
      <c r="AH59" s="5">
        <f t="shared" si="69"/>
        <v>0</v>
      </c>
      <c r="AI59" s="5">
        <f t="shared" si="69"/>
        <v>798317.3616899997</v>
      </c>
      <c r="AJ59" s="40"/>
      <c r="AK59" s="24"/>
      <c r="AL59" s="162"/>
    </row>
    <row r="60" spans="2:38" x14ac:dyDescent="0.25">
      <c r="B60" s="21"/>
      <c r="C60" s="40"/>
      <c r="D60" s="50">
        <f>+D33-D59</f>
        <v>0</v>
      </c>
      <c r="E60" s="50"/>
      <c r="F60" s="50"/>
      <c r="G60" s="50">
        <f t="shared" ref="G60:Q60" si="70">+G33-G59</f>
        <v>0.3865999998524785</v>
      </c>
      <c r="H60" s="50">
        <f t="shared" si="70"/>
        <v>-1059806.9389160003</v>
      </c>
      <c r="I60" s="50">
        <f t="shared" si="70"/>
        <v>-1052944.1529159998</v>
      </c>
      <c r="J60" s="50">
        <f t="shared" si="70"/>
        <v>-1617509.162916</v>
      </c>
      <c r="K60" s="50">
        <f t="shared" si="70"/>
        <v>0</v>
      </c>
      <c r="L60" s="50">
        <f t="shared" si="70"/>
        <v>-505935.27991600015</v>
      </c>
      <c r="M60" s="50">
        <f t="shared" si="70"/>
        <v>-484132.05885400018</v>
      </c>
      <c r="N60" s="50">
        <f t="shared" si="70"/>
        <v>0</v>
      </c>
      <c r="O60" s="50">
        <f t="shared" si="70"/>
        <v>-510751.81408999988</v>
      </c>
      <c r="P60" s="50">
        <f t="shared" si="70"/>
        <v>0</v>
      </c>
      <c r="Q60" s="50">
        <f t="shared" si="70"/>
        <v>0</v>
      </c>
      <c r="R60" s="50"/>
      <c r="S60" s="50"/>
      <c r="T60" s="50">
        <v>0</v>
      </c>
      <c r="U60" s="50"/>
      <c r="V60" s="50"/>
      <c r="W60" s="50">
        <f>+W59-'final-ME'!D58</f>
        <v>0</v>
      </c>
      <c r="X60" s="50"/>
      <c r="Y60" s="50"/>
      <c r="Z60" s="50"/>
      <c r="AA60" s="50"/>
      <c r="AB60" s="50"/>
      <c r="AC60" s="50"/>
      <c r="AD60" s="50"/>
      <c r="AE60" s="50"/>
      <c r="AF60" s="50">
        <f>+AF33-AF59</f>
        <v>0</v>
      </c>
      <c r="AG60" s="50">
        <f>+AG33-AG59</f>
        <v>0.2999999999992724</v>
      </c>
      <c r="AH60" s="50"/>
      <c r="AI60" s="50"/>
      <c r="AJ60" s="24"/>
    </row>
    <row r="61" spans="2:38" x14ac:dyDescent="0.25">
      <c r="B61" s="21"/>
      <c r="C61" s="4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24"/>
    </row>
    <row r="62" spans="2:38" ht="12" hidden="1" customHeight="1" x14ac:dyDescent="0.25">
      <c r="B62" s="21"/>
      <c r="C62" s="4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24"/>
    </row>
    <row r="63" spans="2:38" ht="12" hidden="1" customHeight="1" x14ac:dyDescent="0.25">
      <c r="B63" s="21"/>
      <c r="C63" s="4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24"/>
    </row>
    <row r="64" spans="2:38" ht="12" hidden="1" customHeight="1" x14ac:dyDescent="0.25">
      <c r="B64" s="70" t="s">
        <v>85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51"/>
      <c r="Z64" s="40">
        <f>+T64/1000-'[9]FS &amp; IS'!Z8</f>
        <v>-3150607.15711</v>
      </c>
      <c r="AA64" s="40"/>
      <c r="AB64" s="40"/>
      <c r="AC64" s="40"/>
      <c r="AD64" s="40"/>
      <c r="AE64" s="40">
        <f>+AE57-[8]balance!$M$57/1000</f>
        <v>0</v>
      </c>
      <c r="AF64" s="51">
        <f>+AF57-[7]balance!$M$57/1000</f>
        <v>0</v>
      </c>
      <c r="AG64" s="51"/>
      <c r="AH64" s="51"/>
      <c r="AI64" s="51"/>
      <c r="AJ64" s="24"/>
      <c r="AK64" s="24"/>
    </row>
    <row r="65" spans="2:38" ht="12" hidden="1" customHeight="1" x14ac:dyDescent="0.25">
      <c r="B65" s="320" t="s">
        <v>76</v>
      </c>
      <c r="C65" s="5" t="s">
        <v>3</v>
      </c>
      <c r="D65" s="5" t="s">
        <v>4</v>
      </c>
      <c r="E65" s="1" t="s">
        <v>5</v>
      </c>
      <c r="F65" s="1" t="s">
        <v>6</v>
      </c>
      <c r="G65" s="2" t="s">
        <v>7</v>
      </c>
      <c r="H65" s="7" t="s">
        <v>8</v>
      </c>
      <c r="I65" s="8" t="s">
        <v>9</v>
      </c>
      <c r="J65" s="9" t="s">
        <v>10</v>
      </c>
      <c r="K65" s="4" t="s">
        <v>11</v>
      </c>
      <c r="L65" s="4" t="s">
        <v>12</v>
      </c>
      <c r="M65" s="4" t="s">
        <v>13</v>
      </c>
      <c r="N65" s="4" t="s">
        <v>14</v>
      </c>
      <c r="O65" s="4" t="s">
        <v>15</v>
      </c>
      <c r="P65" s="4" t="s">
        <v>16</v>
      </c>
      <c r="Q65" s="4" t="s">
        <v>17</v>
      </c>
      <c r="R65" s="4" t="s">
        <v>18</v>
      </c>
      <c r="S65" s="4" t="s">
        <v>19</v>
      </c>
      <c r="T65" s="4" t="s">
        <v>20</v>
      </c>
      <c r="U65" s="4" t="s">
        <v>21</v>
      </c>
      <c r="V65" s="4" t="s">
        <v>22</v>
      </c>
      <c r="W65" s="4" t="s">
        <v>22</v>
      </c>
      <c r="X65" s="4"/>
      <c r="Y65" s="321" t="s">
        <v>29</v>
      </c>
      <c r="Z65" s="4" t="s">
        <v>23</v>
      </c>
      <c r="AA65" s="4" t="s">
        <v>24</v>
      </c>
      <c r="AB65" s="4" t="s">
        <v>25</v>
      </c>
      <c r="AC65" s="4" t="s">
        <v>26</v>
      </c>
      <c r="AD65" s="4" t="s">
        <v>27</v>
      </c>
      <c r="AE65" s="4" t="s">
        <v>28</v>
      </c>
      <c r="AF65" s="321" t="s">
        <v>29</v>
      </c>
      <c r="AG65" s="321"/>
      <c r="AH65" s="56"/>
      <c r="AI65" s="321" t="s">
        <v>29</v>
      </c>
      <c r="AJ65" s="24"/>
      <c r="AK65" s="24"/>
      <c r="AL65" s="162"/>
    </row>
    <row r="66" spans="2:38" ht="12" hidden="1" customHeight="1" x14ac:dyDescent="0.25">
      <c r="B66" s="320"/>
      <c r="C66" s="5"/>
      <c r="D66" s="6">
        <v>1</v>
      </c>
      <c r="E66" s="6">
        <v>1</v>
      </c>
      <c r="F66" s="6">
        <v>1</v>
      </c>
      <c r="G66" s="7" t="s">
        <v>31</v>
      </c>
      <c r="H66" s="7" t="s">
        <v>32</v>
      </c>
      <c r="I66" s="8"/>
      <c r="J66" s="9" t="s">
        <v>33</v>
      </c>
      <c r="K66" s="8">
        <v>1</v>
      </c>
      <c r="L66" s="7" t="s">
        <v>34</v>
      </c>
      <c r="M66" s="7" t="s">
        <v>35</v>
      </c>
      <c r="N66" s="7" t="s">
        <v>31</v>
      </c>
      <c r="O66" s="7" t="s">
        <v>35</v>
      </c>
      <c r="P66" s="7" t="s">
        <v>35</v>
      </c>
      <c r="Q66" s="7" t="s">
        <v>34</v>
      </c>
      <c r="R66" s="7" t="s">
        <v>34</v>
      </c>
      <c r="S66" s="7" t="s">
        <v>35</v>
      </c>
      <c r="T66" s="7" t="s">
        <v>31</v>
      </c>
      <c r="U66" s="7" t="s">
        <v>31</v>
      </c>
      <c r="V66" s="7" t="s">
        <v>34</v>
      </c>
      <c r="W66" s="7" t="s">
        <v>34</v>
      </c>
      <c r="X66" s="7"/>
      <c r="Y66" s="321"/>
      <c r="Z66" s="7" t="s">
        <v>34</v>
      </c>
      <c r="AA66" s="7"/>
      <c r="AB66" s="7" t="s">
        <v>34</v>
      </c>
      <c r="AC66" s="7" t="s">
        <v>35</v>
      </c>
      <c r="AD66" s="7" t="s">
        <v>35</v>
      </c>
      <c r="AE66" s="7" t="s">
        <v>35</v>
      </c>
      <c r="AF66" s="7" t="s">
        <v>106</v>
      </c>
      <c r="AG66" s="7" t="s">
        <v>107</v>
      </c>
      <c r="AH66" s="7"/>
      <c r="AI66" s="321"/>
      <c r="AJ66" s="24"/>
      <c r="AK66" s="24"/>
      <c r="AL66" s="162"/>
    </row>
    <row r="67" spans="2:38" ht="12" hidden="1" customHeight="1" x14ac:dyDescent="0.25">
      <c r="B67" s="29" t="s">
        <v>86</v>
      </c>
      <c r="C67" s="52">
        <v>890137.77200000011</v>
      </c>
      <c r="D67" s="53">
        <f t="shared" ref="D67:J67" si="71">SUM(D68:D77)</f>
        <v>216973.24399999998</v>
      </c>
      <c r="E67" s="52">
        <f t="shared" si="71"/>
        <v>273355.16700000002</v>
      </c>
      <c r="F67" s="52">
        <f t="shared" si="71"/>
        <v>320235.27600000001</v>
      </c>
      <c r="G67" s="52">
        <f t="shared" si="71"/>
        <v>666120.86876999994</v>
      </c>
      <c r="H67" s="52">
        <f t="shared" si="71"/>
        <v>725137.66900000011</v>
      </c>
      <c r="I67" s="52">
        <f t="shared" si="71"/>
        <v>771672.72400000005</v>
      </c>
      <c r="J67" s="52">
        <f t="shared" si="71"/>
        <v>832641.35800000001</v>
      </c>
      <c r="K67" s="52">
        <f t="shared" ref="K67:AE67" si="72">SUM(K68:K78)</f>
        <v>1144322.7590799998</v>
      </c>
      <c r="L67" s="52">
        <f t="shared" si="72"/>
        <v>57357.8</v>
      </c>
      <c r="M67" s="52">
        <f t="shared" si="72"/>
        <v>131260.10503999999</v>
      </c>
      <c r="N67" s="52">
        <f t="shared" si="72"/>
        <v>226320.94989999998</v>
      </c>
      <c r="O67" s="52">
        <f t="shared" si="72"/>
        <v>313044.67720999999</v>
      </c>
      <c r="P67" s="52">
        <f t="shared" si="72"/>
        <v>388254.45815000002</v>
      </c>
      <c r="Q67" s="52">
        <f t="shared" si="72"/>
        <v>537061.82761000004</v>
      </c>
      <c r="R67" s="52">
        <f t="shared" si="72"/>
        <v>589929.35262999998</v>
      </c>
      <c r="S67" s="52">
        <f t="shared" si="72"/>
        <v>722856.47220000008</v>
      </c>
      <c r="T67" s="52">
        <f t="shared" si="72"/>
        <v>817861.07735000015</v>
      </c>
      <c r="U67" s="52">
        <f t="shared" si="72"/>
        <v>1673431.89332</v>
      </c>
      <c r="V67" s="52">
        <f t="shared" ref="V67" si="73">SUM(V68:V78)</f>
        <v>1959630.0286599994</v>
      </c>
      <c r="W67" s="52">
        <f t="shared" si="72"/>
        <v>1959630.0286599994</v>
      </c>
      <c r="X67" s="52"/>
      <c r="Y67" s="52"/>
      <c r="Z67" s="52">
        <f t="shared" si="72"/>
        <v>474278.03011999989</v>
      </c>
      <c r="AA67" s="52">
        <f t="shared" si="72"/>
        <v>690986.59973999998</v>
      </c>
      <c r="AB67" s="52">
        <f t="shared" si="72"/>
        <v>1030812.2615399999</v>
      </c>
      <c r="AC67" s="52">
        <f t="shared" si="72"/>
        <v>1239673.7164999999</v>
      </c>
      <c r="AD67" s="52">
        <f t="shared" si="72"/>
        <v>1392020.7503799999</v>
      </c>
      <c r="AE67" s="52">
        <f t="shared" si="72"/>
        <v>1894691.6049899999</v>
      </c>
      <c r="AF67" s="52">
        <f>SUM(AF68:AF78)</f>
        <v>2299476.5902499999</v>
      </c>
      <c r="AG67" s="52"/>
      <c r="AH67" s="52"/>
      <c r="AI67" s="52"/>
      <c r="AJ67" s="24"/>
      <c r="AK67" s="24"/>
      <c r="AL67" s="162"/>
    </row>
    <row r="68" spans="2:38" ht="12" hidden="1" customHeight="1" x14ac:dyDescent="0.25">
      <c r="B68" s="10" t="s">
        <v>87</v>
      </c>
      <c r="C68" s="42">
        <v>286773.07799999998</v>
      </c>
      <c r="D68" s="42">
        <v>69452.639999999999</v>
      </c>
      <c r="E68" s="42">
        <v>86701.112999999998</v>
      </c>
      <c r="F68" s="42">
        <v>105591.954</v>
      </c>
      <c r="G68" s="42">
        <v>126381.13099999999</v>
      </c>
      <c r="H68" s="54">
        <v>215865.55900000001</v>
      </c>
      <c r="I68" s="24">
        <v>240717.26</v>
      </c>
      <c r="J68" s="24">
        <v>240717.26</v>
      </c>
      <c r="K68" s="24">
        <v>266504.86819000001</v>
      </c>
      <c r="L68" s="24">
        <v>28630.400000000001</v>
      </c>
      <c r="M68" s="24">
        <v>56913.154999999999</v>
      </c>
      <c r="N68" s="24">
        <v>77570.636370000007</v>
      </c>
      <c r="O68" s="24">
        <v>105716.31137000001</v>
      </c>
      <c r="P68" s="24">
        <v>138049.61452999999</v>
      </c>
      <c r="Q68" s="24">
        <v>173379.30088999998</v>
      </c>
      <c r="R68" s="24">
        <v>208206.12362</v>
      </c>
      <c r="S68" s="24">
        <v>244035.99333000003</v>
      </c>
      <c r="T68" s="24">
        <v>282241.56832999998</v>
      </c>
      <c r="U68" s="24">
        <f>+[1]balance!$M$87/1000</f>
        <v>354070.76764999999</v>
      </c>
      <c r="V68" s="24">
        <v>387309.36719999998</v>
      </c>
      <c r="W68" s="24">
        <v>387309.36719999998</v>
      </c>
      <c r="X68" s="24"/>
      <c r="Y68" s="24"/>
      <c r="Z68" s="24">
        <v>111476.55591</v>
      </c>
      <c r="AA68" s="24">
        <f>+[2]balance!$L$85/1000</f>
        <v>184630.85363999999</v>
      </c>
      <c r="AB68" s="24">
        <f>+[3]balance!$L$85/1000</f>
        <v>220826.81337000002</v>
      </c>
      <c r="AC68" s="24">
        <f>+[4]balance!$L$86/1000</f>
        <v>285699.24336999998</v>
      </c>
      <c r="AD68" s="24">
        <f>+[5]balance!$L$86/1000</f>
        <v>335066.66610000003</v>
      </c>
      <c r="AE68" s="24">
        <f>[6]balance!$M$86/1000</f>
        <v>426035.49347000004</v>
      </c>
      <c r="AF68" s="24">
        <f>+[7]balance!$M$87/1000</f>
        <v>529224.19302000001</v>
      </c>
      <c r="AG68" s="24"/>
      <c r="AH68" s="24"/>
      <c r="AI68" s="24"/>
      <c r="AJ68" s="24"/>
      <c r="AK68" s="24"/>
      <c r="AL68" s="162"/>
    </row>
    <row r="69" spans="2:38" ht="24" hidden="1" customHeight="1" x14ac:dyDescent="0.25">
      <c r="B69" s="10" t="s">
        <v>88</v>
      </c>
      <c r="C69" s="42">
        <v>200459.92500000002</v>
      </c>
      <c r="D69" s="42">
        <v>51333.826000000001</v>
      </c>
      <c r="E69" s="42">
        <v>69223.749000000011</v>
      </c>
      <c r="F69" s="42">
        <v>79104.288</v>
      </c>
      <c r="G69" s="42">
        <v>184964.69899999996</v>
      </c>
      <c r="H69" s="54">
        <v>211281.67</v>
      </c>
      <c r="I69" s="47">
        <v>225340.63200000001</v>
      </c>
      <c r="J69" s="47">
        <v>257311.60099999997</v>
      </c>
      <c r="K69" s="47">
        <v>270671.02950999996</v>
      </c>
      <c r="L69" s="47">
        <v>9194.4</v>
      </c>
      <c r="M69" s="47">
        <v>13248.502719999999</v>
      </c>
      <c r="N69" s="47">
        <v>35305.089200000002</v>
      </c>
      <c r="O69" s="47">
        <v>43897.321780000006</v>
      </c>
      <c r="P69" s="47">
        <v>56394.506339999993</v>
      </c>
      <c r="Q69" s="47">
        <v>128416.38924</v>
      </c>
      <c r="R69" s="47">
        <v>137509.81657</v>
      </c>
      <c r="S69" s="47">
        <v>218405.93209000005</v>
      </c>
      <c r="T69" s="47">
        <v>253594.31039000003</v>
      </c>
      <c r="U69" s="47">
        <f>+[1]balance!$N$64/1000-[1]balance!$M$63/1000+13072</f>
        <v>275712.90234000003</v>
      </c>
      <c r="V69" s="47">
        <v>321409.4388899997</v>
      </c>
      <c r="W69" s="47">
        <v>321409.4388899997</v>
      </c>
      <c r="X69" s="47"/>
      <c r="Y69" s="47"/>
      <c r="Z69" s="47">
        <v>122225.2668</v>
      </c>
      <c r="AA69" s="47">
        <f>+[2]balance!$M$62/1000</f>
        <v>108321.90629000001</v>
      </c>
      <c r="AB69" s="47">
        <f>+[3]balance!$M$62/1000</f>
        <v>173775.98605000001</v>
      </c>
      <c r="AC69" s="47">
        <f>+[4]balance!$M$63/1000</f>
        <v>207991.41357999999</v>
      </c>
      <c r="AD69" s="47">
        <f>+[5]balance!$M$63/1000</f>
        <v>239108.82461999997</v>
      </c>
      <c r="AE69" s="47">
        <f>+[8]balance!$N$64/1000</f>
        <v>278847.82051000005</v>
      </c>
      <c r="AF69" s="47">
        <f>+[7]balance!$N$64/1000</f>
        <v>367354.89515000005</v>
      </c>
      <c r="AG69" s="47"/>
      <c r="AH69" s="47"/>
      <c r="AI69" s="47"/>
      <c r="AJ69" s="24"/>
      <c r="AK69" s="24"/>
      <c r="AL69" s="162"/>
    </row>
    <row r="70" spans="2:38" ht="12" hidden="1" customHeight="1" x14ac:dyDescent="0.25">
      <c r="B70" s="10" t="s">
        <v>89</v>
      </c>
      <c r="C70" s="42">
        <v>41949.330999999998</v>
      </c>
      <c r="D70" s="42">
        <v>35403.930999999997</v>
      </c>
      <c r="E70" s="42">
        <v>41268.330999999998</v>
      </c>
      <c r="F70" s="42">
        <v>41586.330999999998</v>
      </c>
      <c r="G70" s="42">
        <v>47661.731</v>
      </c>
      <c r="H70" s="54">
        <v>68788.649999999994</v>
      </c>
      <c r="I70" s="24">
        <v>74842.8</v>
      </c>
      <c r="J70" s="24">
        <v>85481.216</v>
      </c>
      <c r="K70" s="24">
        <v>88245.016579999996</v>
      </c>
      <c r="L70" s="24">
        <v>0</v>
      </c>
      <c r="M70" s="24">
        <v>0</v>
      </c>
      <c r="N70" s="24">
        <f>28348.75-6815.95</f>
        <v>21532.799999999999</v>
      </c>
      <c r="O70" s="24">
        <v>45843.15</v>
      </c>
      <c r="P70" s="24">
        <v>21533</v>
      </c>
      <c r="Q70" s="24">
        <v>21532.799999999999</v>
      </c>
      <c r="R70" s="24">
        <v>21532.799999999999</v>
      </c>
      <c r="S70" s="24">
        <v>22482.652999999998</v>
      </c>
      <c r="T70" s="24">
        <v>23983.152999999998</v>
      </c>
      <c r="U70" s="24">
        <f>+[1]balance!$M$70/1000+[1]balance!$M$71/1000</f>
        <v>78914.105490000002</v>
      </c>
      <c r="V70" s="24">
        <v>88008.843059999999</v>
      </c>
      <c r="W70" s="24">
        <v>88008.843059999999</v>
      </c>
      <c r="X70" s="24"/>
      <c r="Y70" s="24"/>
      <c r="Z70" s="24">
        <v>11016.080310000001</v>
      </c>
      <c r="AA70" s="24">
        <f>+[2]balance!$L$68/1000</f>
        <v>11016.080310000001</v>
      </c>
      <c r="AB70" s="24">
        <f>+[3]balance!$L$68/1000</f>
        <v>15429.75243</v>
      </c>
      <c r="AC70" s="24">
        <f>+AB70</f>
        <v>15429.75243</v>
      </c>
      <c r="AD70" s="24">
        <f>+[5]balance!$L$69/1000+[5]balance!$L$70/1000</f>
        <v>21214.804429999997</v>
      </c>
      <c r="AE70" s="24">
        <f>+[8]balance!$M$70/1000+[8]balance!$M$71/1000</f>
        <v>30218.46243</v>
      </c>
      <c r="AF70" s="24">
        <f>+[7]balance!$M$70/1000+[7]balance!$M$71/1000</f>
        <v>53782.977429999999</v>
      </c>
      <c r="AG70" s="24"/>
      <c r="AH70" s="24"/>
      <c r="AI70" s="24"/>
      <c r="AJ70" s="24"/>
      <c r="AK70" s="24"/>
      <c r="AL70" s="162"/>
    </row>
    <row r="71" spans="2:38" ht="12" hidden="1" customHeight="1" x14ac:dyDescent="0.25">
      <c r="B71" s="10" t="s">
        <v>90</v>
      </c>
      <c r="C71" s="42">
        <v>109182.462</v>
      </c>
      <c r="D71" s="42">
        <v>29597.072</v>
      </c>
      <c r="E71" s="42">
        <v>40980.358</v>
      </c>
      <c r="F71" s="42">
        <v>54928.555999999997</v>
      </c>
      <c r="G71" s="42">
        <v>92089.409</v>
      </c>
      <c r="H71" s="54">
        <v>106240.41</v>
      </c>
      <c r="I71" s="24">
        <v>101850.056</v>
      </c>
      <c r="J71" s="24">
        <v>114036.28</v>
      </c>
      <c r="K71" s="24">
        <v>135910.00208000001</v>
      </c>
      <c r="L71" s="24">
        <v>9761</v>
      </c>
      <c r="M71" s="24">
        <v>14570.158150000001</v>
      </c>
      <c r="N71" s="24">
        <v>20539.807499999999</v>
      </c>
      <c r="O71" s="24">
        <v>40782.514049999998</v>
      </c>
      <c r="P71" s="24">
        <v>70924.915870000012</v>
      </c>
      <c r="Q71" s="24">
        <v>105608.25877</v>
      </c>
      <c r="R71" s="24">
        <v>109935.492</v>
      </c>
      <c r="S71" s="24">
        <v>116529.89416</v>
      </c>
      <c r="T71" s="24">
        <v>124258.01431</v>
      </c>
      <c r="U71" s="24">
        <f>+[1]balance!$M$50/1000</f>
        <v>167364.45775999999</v>
      </c>
      <c r="V71" s="24">
        <v>201182.31143999999</v>
      </c>
      <c r="W71" s="24">
        <v>201182.31143999999</v>
      </c>
      <c r="X71" s="24"/>
      <c r="Y71" s="24"/>
      <c r="Z71" s="24">
        <v>36450.871500000001</v>
      </c>
      <c r="AA71" s="24">
        <f>+[2]balance!$L$49/1000</f>
        <v>126958.49095000001</v>
      </c>
      <c r="AB71" s="24">
        <f>+[3]balance!$L$49/1000</f>
        <v>147736.43438999998</v>
      </c>
      <c r="AC71" s="24">
        <f>+[4]balance!$L$50/1000</f>
        <v>164798.18634000001</v>
      </c>
      <c r="AD71" s="24">
        <f>+[5]balance!$L$50/1000</f>
        <v>177629.18921000001</v>
      </c>
      <c r="AE71" s="24">
        <f>[6]balance!$M$50/1000</f>
        <v>243730.76434999998</v>
      </c>
      <c r="AF71" s="24">
        <f>+[7]balance!$M$50/1000</f>
        <v>283596.17625999998</v>
      </c>
      <c r="AG71" s="24"/>
      <c r="AH71" s="24"/>
      <c r="AI71" s="24"/>
      <c r="AJ71" s="24"/>
      <c r="AK71" s="24"/>
      <c r="AL71" s="162"/>
    </row>
    <row r="72" spans="2:38" ht="12" hidden="1" customHeight="1" x14ac:dyDescent="0.25">
      <c r="B72" s="10" t="s">
        <v>91</v>
      </c>
      <c r="C72" s="42">
        <v>21072.233999999997</v>
      </c>
      <c r="D72" s="42">
        <v>9725.7750000000015</v>
      </c>
      <c r="E72" s="42">
        <v>13721.616</v>
      </c>
      <c r="F72" s="42">
        <v>17564.146999999997</v>
      </c>
      <c r="G72" s="42">
        <v>19769.155999999999</v>
      </c>
      <c r="H72" s="54">
        <v>24369.679999999997</v>
      </c>
      <c r="I72" s="24">
        <v>25848.769999999997</v>
      </c>
      <c r="J72" s="24">
        <v>28344.593999999997</v>
      </c>
      <c r="K72" s="24">
        <v>50672.20031</v>
      </c>
      <c r="L72" s="24">
        <v>1871</v>
      </c>
      <c r="M72" s="24">
        <v>3901.6883599999996</v>
      </c>
      <c r="N72" s="24">
        <v>5420.4594500000003</v>
      </c>
      <c r="O72" s="24">
        <v>7829.7215099999994</v>
      </c>
      <c r="P72" s="24">
        <v>12436.713240000001</v>
      </c>
      <c r="Q72" s="24">
        <v>16617.08064</v>
      </c>
      <c r="R72" s="24">
        <v>18065.53973</v>
      </c>
      <c r="S72" s="24">
        <v>19867.37991</v>
      </c>
      <c r="T72" s="24">
        <v>21823.333999999999</v>
      </c>
      <c r="U72" s="24">
        <f>+[1]balance!$M$79/1000+[1]balance!$M$90/1000+[1]balance!$M$91/1000</f>
        <v>20557.348890000001</v>
      </c>
      <c r="V72" s="24">
        <v>20129.211559999996</v>
      </c>
      <c r="W72" s="24">
        <v>20129.211559999996</v>
      </c>
      <c r="X72" s="24"/>
      <c r="Y72" s="24"/>
      <c r="Z72" s="24">
        <v>3991.7381100000002</v>
      </c>
      <c r="AA72" s="24">
        <f>+[2]balance!$L$80/1000+[2]balance!$L$88/1000+[2]balance!$L$89/1000</f>
        <v>8672.1639299999988</v>
      </c>
      <c r="AB72" s="24">
        <f>+[3]balance!$L$88/1000+[3]balance!$L$89/1000</f>
        <v>7935.1642099999999</v>
      </c>
      <c r="AC72" s="24">
        <f>+[4]balance!$L$89/1000+[4]balance!$L$90/1000+[4]balance!$L$81/1000</f>
        <v>13368.47481</v>
      </c>
      <c r="AD72" s="24">
        <f>+[5]balance!$L$81/1000+[5]balance!$L$89/1000+[5]balance!$L$90/1000</f>
        <v>15333.729140000001</v>
      </c>
      <c r="AE72" s="24">
        <f>[6]balance!$M$81/1000+[6]balance!$M$89/1000+[6]balance!$M$90/1000</f>
        <v>21000.99237</v>
      </c>
      <c r="AF72" s="24">
        <f>+[7]balance!$M$82/1000+[7]balance!$M$90/1000+[7]balance!$M$91/1000</f>
        <v>24534.958019999998</v>
      </c>
      <c r="AG72" s="24"/>
      <c r="AH72" s="24"/>
      <c r="AI72" s="24"/>
      <c r="AJ72" s="24"/>
      <c r="AK72" s="24"/>
      <c r="AL72" s="162"/>
    </row>
    <row r="73" spans="2:38" ht="12" hidden="1" customHeight="1" x14ac:dyDescent="0.25">
      <c r="B73" s="10" t="s">
        <v>92</v>
      </c>
      <c r="C73" s="42">
        <v>83493.801999999996</v>
      </c>
      <c r="D73" s="42">
        <v>21460</v>
      </c>
      <c r="E73" s="42">
        <v>21460</v>
      </c>
      <c r="F73" s="42">
        <v>21460</v>
      </c>
      <c r="G73" s="42">
        <v>21460</v>
      </c>
      <c r="H73" s="54">
        <v>41686.07</v>
      </c>
      <c r="I73" s="47">
        <v>44986.076000000001</v>
      </c>
      <c r="J73" s="47">
        <v>47447.186999999998</v>
      </c>
      <c r="K73" s="47">
        <v>112192.36601000001</v>
      </c>
      <c r="L73" s="47">
        <v>0</v>
      </c>
      <c r="M73" s="47">
        <v>33329.14</v>
      </c>
      <c r="N73" s="47">
        <v>45190</v>
      </c>
      <c r="O73" s="47">
        <v>47821.232000000004</v>
      </c>
      <c r="P73" s="47">
        <v>52987.591</v>
      </c>
      <c r="Q73" s="47">
        <v>54207.591</v>
      </c>
      <c r="R73" s="47">
        <v>54207.591</v>
      </c>
      <c r="S73" s="47">
        <v>55736.391000000003</v>
      </c>
      <c r="T73" s="47">
        <v>66109.059649999996</v>
      </c>
      <c r="U73" s="47">
        <f>+[1]balance!$M$75/1000</f>
        <v>260362.08337000001</v>
      </c>
      <c r="V73" s="47">
        <v>324866.04881000001</v>
      </c>
      <c r="W73" s="47">
        <v>324866.04881000001</v>
      </c>
      <c r="X73" s="47"/>
      <c r="Y73" s="47"/>
      <c r="Z73" s="47">
        <v>80219.943360000005</v>
      </c>
      <c r="AA73" s="47">
        <f>+[2]balance!$L$73/1000</f>
        <v>116043.09247</v>
      </c>
      <c r="AB73" s="47">
        <f>+[3]balance!$L$73/1000</f>
        <v>145156.37694999998</v>
      </c>
      <c r="AC73" s="47">
        <f>+[4]balance!$L$74/1000</f>
        <v>208549.19461999999</v>
      </c>
      <c r="AD73" s="47">
        <f>+[5]balance!$L$74/1000</f>
        <v>246316.38788999998</v>
      </c>
      <c r="AE73" s="47">
        <f>[6]balance!$M$74/1000</f>
        <v>295855.89487000002</v>
      </c>
      <c r="AF73" s="47">
        <f>+[7]balance!$M$75/1000</f>
        <v>400179.88438999996</v>
      </c>
      <c r="AG73" s="47"/>
      <c r="AH73" s="47"/>
      <c r="AI73" s="47"/>
      <c r="AJ73" s="24"/>
      <c r="AK73" s="24"/>
      <c r="AL73" s="162"/>
    </row>
    <row r="74" spans="2:38" ht="12" hidden="1" customHeight="1" x14ac:dyDescent="0.25">
      <c r="B74" s="10" t="s">
        <v>93</v>
      </c>
      <c r="C74" s="42"/>
      <c r="D74" s="42"/>
      <c r="E74" s="42"/>
      <c r="F74" s="42"/>
      <c r="G74" s="42">
        <f>173794.743-56905.635</f>
        <v>116889.10799999998</v>
      </c>
      <c r="H74" s="54"/>
      <c r="I74" s="24"/>
      <c r="J74" s="24"/>
      <c r="K74" s="24">
        <f>153668.416-16000</f>
        <v>137668.416</v>
      </c>
      <c r="L74" s="24"/>
      <c r="M74" s="24"/>
      <c r="N74" s="24">
        <v>6815.9500000000007</v>
      </c>
      <c r="O74" s="24"/>
      <c r="P74" s="24">
        <v>10272.804</v>
      </c>
      <c r="Q74" s="24">
        <v>10590.703899999999</v>
      </c>
      <c r="R74" s="24">
        <v>11251.487539999998</v>
      </c>
      <c r="S74" s="24">
        <v>13279.584849999999</v>
      </c>
      <c r="T74" s="24">
        <v>13289.52081</v>
      </c>
      <c r="U74" s="24">
        <f>+[1]balance!$M$49/1000</f>
        <v>9104.243199999999</v>
      </c>
      <c r="V74" s="24">
        <v>10339.318049999998</v>
      </c>
      <c r="W74" s="24">
        <v>10339.318049999998</v>
      </c>
      <c r="X74" s="24"/>
      <c r="Y74" s="24"/>
      <c r="Z74" s="24">
        <v>8905.39581</v>
      </c>
      <c r="AA74" s="24">
        <f>+[2]balance!$L$48/1000</f>
        <v>19981.62066</v>
      </c>
      <c r="AB74" s="24">
        <f>+[3]balance!$L$48/1000</f>
        <v>19981.62066</v>
      </c>
      <c r="AC74" s="24">
        <f>+[4]balance!$L$49/1000</f>
        <v>30100.852659999997</v>
      </c>
      <c r="AD74" s="24">
        <f>+[5]balance!$L$49/1000</f>
        <v>40992.246659999997</v>
      </c>
      <c r="AE74" s="24">
        <f>+[8]balance!$M$49/1000</f>
        <v>80996.654280000002</v>
      </c>
      <c r="AF74" s="24">
        <f>+[7]balance!$M$49/1000</f>
        <v>104088.08573000001</v>
      </c>
      <c r="AG74" s="24"/>
      <c r="AH74" s="24"/>
      <c r="AI74" s="24"/>
    </row>
    <row r="75" spans="2:38" ht="12" hidden="1" customHeight="1" x14ac:dyDescent="0.25">
      <c r="B75" s="10" t="s">
        <v>94</v>
      </c>
      <c r="C75" s="42"/>
      <c r="D75" s="42"/>
      <c r="E75" s="42"/>
      <c r="F75" s="42"/>
      <c r="G75" s="42"/>
      <c r="H75" s="54"/>
      <c r="I75" s="24"/>
      <c r="J75" s="24"/>
      <c r="K75" s="24">
        <v>16000</v>
      </c>
      <c r="L75" s="24"/>
      <c r="M75" s="24"/>
      <c r="N75" s="24">
        <v>6100.6750000000002</v>
      </c>
      <c r="O75" s="24">
        <v>6100.6750000000002</v>
      </c>
      <c r="P75" s="24">
        <v>6100.6750000000002</v>
      </c>
      <c r="Q75" s="24">
        <v>6100.6750000000002</v>
      </c>
      <c r="R75" s="24">
        <v>6100.6750000000002</v>
      </c>
      <c r="S75" s="24">
        <v>6100.6750000000002</v>
      </c>
      <c r="T75" s="24">
        <v>6100.6750000000002</v>
      </c>
      <c r="U75" s="24">
        <f>+[1]balance!$M$69/1000</f>
        <v>6151.5506500000001</v>
      </c>
      <c r="V75" s="24"/>
      <c r="W75" s="24"/>
      <c r="X75" s="24"/>
      <c r="Y75" s="24"/>
      <c r="Z75" s="24"/>
      <c r="AA75" s="24"/>
      <c r="AB75" s="24"/>
      <c r="AC75" s="24"/>
      <c r="AD75" s="24"/>
      <c r="AE75" s="24">
        <f>+[8]balance!$M$69/1000</f>
        <v>10000</v>
      </c>
      <c r="AF75" s="24">
        <f>+[7]balance!$M$69/1000</f>
        <v>21500</v>
      </c>
      <c r="AG75" s="24"/>
      <c r="AH75" s="24"/>
      <c r="AI75" s="24"/>
    </row>
    <row r="76" spans="2:38" ht="12" hidden="1" customHeight="1" x14ac:dyDescent="0.25">
      <c r="B76" s="10" t="s">
        <v>95</v>
      </c>
      <c r="C76" s="42"/>
      <c r="D76" s="42"/>
      <c r="E76" s="42"/>
      <c r="F76" s="42"/>
      <c r="G76" s="42"/>
      <c r="H76" s="54"/>
      <c r="I76" s="24"/>
      <c r="J76" s="24"/>
      <c r="K76" s="24">
        <v>3099.4922799999999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4">
        <v>0</v>
      </c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2:38" ht="12" hidden="1" customHeight="1" x14ac:dyDescent="0.25">
      <c r="B77" s="33" t="s">
        <v>96</v>
      </c>
      <c r="C77" s="24"/>
      <c r="D77" s="42"/>
      <c r="E77" s="42"/>
      <c r="F77" s="42"/>
      <c r="G77" s="24">
        <v>56905.634769999997</v>
      </c>
      <c r="H77" s="24">
        <v>56905.63</v>
      </c>
      <c r="I77" s="24">
        <v>58087.13</v>
      </c>
      <c r="J77" s="24">
        <v>59303.22</v>
      </c>
      <c r="K77" s="24">
        <v>63359.368119999999</v>
      </c>
      <c r="L77" s="24">
        <v>7901</v>
      </c>
      <c r="M77" s="24">
        <v>9297.4608100000005</v>
      </c>
      <c r="N77" s="24">
        <v>7845.5323799999996</v>
      </c>
      <c r="O77" s="24">
        <v>15053.7515</v>
      </c>
      <c r="P77" s="24">
        <v>19554.638170000002</v>
      </c>
      <c r="Q77" s="24">
        <v>20609.028170000001</v>
      </c>
      <c r="R77" s="24">
        <v>23119.82717</v>
      </c>
      <c r="S77" s="24">
        <v>26417.968860000001</v>
      </c>
      <c r="T77" s="24">
        <v>26461.441859999999</v>
      </c>
      <c r="U77" s="24">
        <f>+[1]balance!$M$93/1000+[1]balance!$M$94/1000</f>
        <v>35867.283620000002</v>
      </c>
      <c r="V77" s="24">
        <v>52231.752769999999</v>
      </c>
      <c r="W77" s="24">
        <v>52231.752769999999</v>
      </c>
      <c r="X77" s="24"/>
      <c r="Y77" s="24"/>
      <c r="Z77" s="24">
        <v>10643.777470000001</v>
      </c>
      <c r="AA77" s="24">
        <f>+[2]balance!$L$90/1000+[2]balance!$L$91/1000+[2]balance!$L$92/1000</f>
        <v>26013.99064</v>
      </c>
      <c r="AB77" s="24">
        <f>+[3]balance!$L$90/1000+[3]balance!$L$91/1000+[3]balance!$L$92/1000</f>
        <v>30910.812989999999</v>
      </c>
      <c r="AC77" s="24">
        <f>+[4]balance!$L$91/1000+[4]balance!$L$92/1000+[4]balance!$L$93/1000</f>
        <v>44677.298200000005</v>
      </c>
      <c r="AD77" s="24">
        <f>+[5]balance!$L$91/1000+[5]balance!$L$92/1000+[5]balance!$L$93/1000</f>
        <v>47299.601840000003</v>
      </c>
      <c r="AE77" s="24">
        <f>[6]balance!$M$91/1000+[6]balance!$M$92/1000+[6]balance!$M$93/1000</f>
        <v>61214.922579999999</v>
      </c>
      <c r="AF77" s="24">
        <f>+[7]balance!$M$92/1000+[7]balance!$M$93/1000+[7]balance!$M$94/1000</f>
        <v>68424.820119999989</v>
      </c>
      <c r="AG77" s="24"/>
      <c r="AH77" s="24"/>
      <c r="AI77" s="24"/>
    </row>
    <row r="78" spans="2:38" ht="12" hidden="1" customHeight="1" x14ac:dyDescent="0.25">
      <c r="B78" s="33" t="s">
        <v>97</v>
      </c>
      <c r="C78" s="24"/>
      <c r="D78" s="42"/>
      <c r="E78" s="42"/>
      <c r="F78" s="42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>
        <f>+[1]balance!$M$97/1000+[1]balance!$M$95/1000</f>
        <v>465327.15035000001</v>
      </c>
      <c r="V78" s="24">
        <v>554153.73687999998</v>
      </c>
      <c r="W78" s="24">
        <v>554153.73687999998</v>
      </c>
      <c r="X78" s="24"/>
      <c r="Y78" s="24"/>
      <c r="Z78" s="24">
        <v>89348.400849999991</v>
      </c>
      <c r="AA78" s="24">
        <f>+[2]balance!$L$93/1000</f>
        <v>89348.400849999991</v>
      </c>
      <c r="AB78" s="24">
        <f>+[3]balance!$L$93/1000</f>
        <v>269059.30048999999</v>
      </c>
      <c r="AC78" s="24">
        <f>+AB78</f>
        <v>269059.30048999999</v>
      </c>
      <c r="AD78" s="24">
        <f>+[5]balance!$L$94/1000</f>
        <v>269059.30048999999</v>
      </c>
      <c r="AE78" s="24">
        <f>+[6]balance!$M$94/1000</f>
        <v>446790.60012999998</v>
      </c>
      <c r="AF78" s="24">
        <f>+[7]balance!$M$95/1000</f>
        <v>446790.60012999998</v>
      </c>
      <c r="AG78" s="24"/>
      <c r="AH78" s="24"/>
      <c r="AI78" s="24"/>
    </row>
    <row r="79" spans="2:38" ht="12" hidden="1" customHeight="1" x14ac:dyDescent="0.25">
      <c r="B79" s="33"/>
      <c r="C79" s="24"/>
      <c r="D79" s="42"/>
      <c r="E79" s="42"/>
      <c r="F79" s="42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2:38" ht="12" hidden="1" customHeight="1" x14ac:dyDescent="0.25">
      <c r="B80" s="320" t="s">
        <v>77</v>
      </c>
      <c r="C80" s="5" t="s">
        <v>3</v>
      </c>
      <c r="D80" s="5" t="s">
        <v>4</v>
      </c>
      <c r="E80" s="5" t="s">
        <v>5</v>
      </c>
      <c r="F80" s="5" t="s">
        <v>6</v>
      </c>
      <c r="G80" s="7" t="s">
        <v>7</v>
      </c>
      <c r="H80" s="7" t="s">
        <v>8</v>
      </c>
      <c r="I80" s="8" t="s">
        <v>9</v>
      </c>
      <c r="J80" s="9" t="s">
        <v>10</v>
      </c>
      <c r="K80" s="9" t="s">
        <v>11</v>
      </c>
      <c r="L80" s="9" t="s">
        <v>12</v>
      </c>
      <c r="M80" s="9" t="s">
        <v>13</v>
      </c>
      <c r="N80" s="4" t="s">
        <v>14</v>
      </c>
      <c r="O80" s="4" t="s">
        <v>15</v>
      </c>
      <c r="P80" s="4" t="s">
        <v>16</v>
      </c>
      <c r="Q80" s="4" t="s">
        <v>17</v>
      </c>
      <c r="R80" s="4" t="s">
        <v>18</v>
      </c>
      <c r="S80" s="4" t="s">
        <v>19</v>
      </c>
      <c r="T80" s="4" t="s">
        <v>20</v>
      </c>
      <c r="U80" s="4" t="s">
        <v>21</v>
      </c>
      <c r="V80" s="4" t="s">
        <v>22</v>
      </c>
      <c r="W80" s="4" t="s">
        <v>22</v>
      </c>
      <c r="X80" s="4"/>
      <c r="Y80" s="321" t="s">
        <v>29</v>
      </c>
      <c r="Z80" s="4" t="s">
        <v>23</v>
      </c>
      <c r="AA80" s="4" t="s">
        <v>24</v>
      </c>
      <c r="AB80" s="4" t="s">
        <v>25</v>
      </c>
      <c r="AC80" s="4" t="s">
        <v>26</v>
      </c>
      <c r="AD80" s="4" t="s">
        <v>27</v>
      </c>
      <c r="AE80" s="4" t="s">
        <v>28</v>
      </c>
      <c r="AF80" s="321" t="s">
        <v>29</v>
      </c>
      <c r="AG80" s="321"/>
      <c r="AH80" s="56"/>
      <c r="AI80" s="321" t="s">
        <v>29</v>
      </c>
    </row>
    <row r="81" spans="2:40" ht="12" hidden="1" customHeight="1" x14ac:dyDescent="0.25">
      <c r="B81" s="320"/>
      <c r="C81" s="5"/>
      <c r="D81" s="6">
        <v>1</v>
      </c>
      <c r="E81" s="6">
        <v>1</v>
      </c>
      <c r="F81" s="6">
        <v>1</v>
      </c>
      <c r="G81" s="7" t="s">
        <v>31</v>
      </c>
      <c r="H81" s="7" t="s">
        <v>32</v>
      </c>
      <c r="I81" s="8"/>
      <c r="J81" s="9" t="s">
        <v>33</v>
      </c>
      <c r="K81" s="8">
        <v>1</v>
      </c>
      <c r="L81" s="7" t="s">
        <v>34</v>
      </c>
      <c r="M81" s="7" t="s">
        <v>35</v>
      </c>
      <c r="N81" s="7" t="s">
        <v>31</v>
      </c>
      <c r="O81" s="7" t="s">
        <v>35</v>
      </c>
      <c r="P81" s="7" t="s">
        <v>35</v>
      </c>
      <c r="Q81" s="7" t="s">
        <v>34</v>
      </c>
      <c r="R81" s="7" t="s">
        <v>34</v>
      </c>
      <c r="S81" s="7" t="s">
        <v>35</v>
      </c>
      <c r="T81" s="7" t="s">
        <v>31</v>
      </c>
      <c r="U81" s="7" t="s">
        <v>31</v>
      </c>
      <c r="V81" s="7" t="s">
        <v>34</v>
      </c>
      <c r="W81" s="7" t="s">
        <v>34</v>
      </c>
      <c r="X81" s="7"/>
      <c r="Y81" s="321"/>
      <c r="Z81" s="7" t="s">
        <v>34</v>
      </c>
      <c r="AA81" s="7"/>
      <c r="AB81" s="7" t="s">
        <v>34</v>
      </c>
      <c r="AC81" s="7" t="s">
        <v>35</v>
      </c>
      <c r="AD81" s="7" t="s">
        <v>35</v>
      </c>
      <c r="AE81" s="7" t="s">
        <v>35</v>
      </c>
      <c r="AF81" s="7" t="s">
        <v>106</v>
      </c>
      <c r="AG81" s="7" t="s">
        <v>107</v>
      </c>
      <c r="AH81" s="7"/>
      <c r="AI81" s="321"/>
    </row>
    <row r="82" spans="2:40" ht="12" hidden="1" customHeight="1" x14ac:dyDescent="0.25">
      <c r="B82" s="29" t="s">
        <v>86</v>
      </c>
      <c r="C82" s="52">
        <v>87177.414000000004</v>
      </c>
      <c r="D82" s="55">
        <f t="shared" ref="D82:T82" si="74">SUM(D83:D85)</f>
        <v>5984.2244000000001</v>
      </c>
      <c r="E82" s="55">
        <f t="shared" si="74"/>
        <v>5666.6390000000001</v>
      </c>
      <c r="F82" s="55">
        <f t="shared" si="74"/>
        <v>5722.1469999999999</v>
      </c>
      <c r="G82" s="55">
        <f t="shared" si="74"/>
        <v>6216.9830000000002</v>
      </c>
      <c r="H82" s="55">
        <f t="shared" si="74"/>
        <v>70267.065000000002</v>
      </c>
      <c r="I82" s="55">
        <f t="shared" si="74"/>
        <v>83521.59</v>
      </c>
      <c r="J82" s="55">
        <f t="shared" si="74"/>
        <v>97233.361000000004</v>
      </c>
      <c r="K82" s="55">
        <f t="shared" si="74"/>
        <v>117629.13291999999</v>
      </c>
      <c r="L82" s="55">
        <f t="shared" si="74"/>
        <v>971</v>
      </c>
      <c r="M82" s="55">
        <f t="shared" si="74"/>
        <v>22099.934069999999</v>
      </c>
      <c r="N82" s="55">
        <f t="shared" si="74"/>
        <v>54319.214979999997</v>
      </c>
      <c r="O82" s="55">
        <f t="shared" si="74"/>
        <v>86876.098169999983</v>
      </c>
      <c r="P82" s="55">
        <f t="shared" si="74"/>
        <v>124752.0595</v>
      </c>
      <c r="Q82" s="55">
        <f t="shared" si="74"/>
        <v>156000.84539999999</v>
      </c>
      <c r="R82" s="55">
        <f t="shared" si="74"/>
        <v>191599.57377999998</v>
      </c>
      <c r="S82" s="55">
        <f t="shared" si="74"/>
        <v>228123.52067</v>
      </c>
      <c r="T82" s="55">
        <f t="shared" si="74"/>
        <v>266489.80110999994</v>
      </c>
      <c r="U82" s="55">
        <f t="shared" ref="U82:AF82" si="75">SUM(U83:U84)</f>
        <v>329166.29953000002</v>
      </c>
      <c r="V82" s="55">
        <f t="shared" ref="V82" si="76">SUM(V83:V84)</f>
        <v>397262.80229000002</v>
      </c>
      <c r="W82" s="55">
        <f t="shared" si="75"/>
        <v>397262.80229000002</v>
      </c>
      <c r="X82" s="55"/>
      <c r="Y82" s="55"/>
      <c r="Z82" s="55">
        <f t="shared" si="75"/>
        <v>159586.71739999999</v>
      </c>
      <c r="AA82" s="55">
        <f t="shared" si="75"/>
        <v>248130.00620999999</v>
      </c>
      <c r="AB82" s="55">
        <f t="shared" si="75"/>
        <v>325556.67803000001</v>
      </c>
      <c r="AC82" s="55">
        <f t="shared" si="75"/>
        <v>375983.29293</v>
      </c>
      <c r="AD82" s="55">
        <f t="shared" si="75"/>
        <v>413872.28351999994</v>
      </c>
      <c r="AE82" s="55">
        <f t="shared" si="75"/>
        <v>485896.05992999999</v>
      </c>
      <c r="AF82" s="55">
        <f t="shared" si="75"/>
        <v>592366.80387000006</v>
      </c>
      <c r="AG82" s="55"/>
      <c r="AH82" s="55"/>
      <c r="AI82" s="55"/>
    </row>
    <row r="83" spans="2:40" ht="12" hidden="1" customHeight="1" x14ac:dyDescent="0.25">
      <c r="B83" s="10" t="s">
        <v>98</v>
      </c>
      <c r="C83" s="42">
        <v>77608.55</v>
      </c>
      <c r="D83" s="71">
        <v>5521.9174000000003</v>
      </c>
      <c r="E83" s="71">
        <v>5121.2190000000001</v>
      </c>
      <c r="F83" s="71">
        <v>5121.2190000000001</v>
      </c>
      <c r="G83" s="42">
        <v>5121.2190000000001</v>
      </c>
      <c r="H83" s="42">
        <v>68782.544999999998</v>
      </c>
      <c r="I83" s="42">
        <v>81892.12999999999</v>
      </c>
      <c r="J83" s="42">
        <v>95399.705000000002</v>
      </c>
      <c r="K83" s="71">
        <v>115559.69133999999</v>
      </c>
      <c r="L83" s="42">
        <v>583</v>
      </c>
      <c r="M83" s="42">
        <v>21697.43505</v>
      </c>
      <c r="N83" s="42">
        <v>53867.966710000001</v>
      </c>
      <c r="O83" s="42">
        <v>86179.957069999989</v>
      </c>
      <c r="P83" s="42">
        <v>123854.50146</v>
      </c>
      <c r="Q83" s="42">
        <v>154892.03503</v>
      </c>
      <c r="R83" s="42">
        <v>190438.99940999999</v>
      </c>
      <c r="S83" s="42">
        <v>226932.30369999999</v>
      </c>
      <c r="T83" s="71">
        <v>265079.24900999997</v>
      </c>
      <c r="U83" s="71">
        <f>+[1]balance!$M$48/1000</f>
        <v>327650.08935000002</v>
      </c>
      <c r="V83" s="71">
        <v>394026.12747000001</v>
      </c>
      <c r="W83" s="71">
        <v>394026.12747000001</v>
      </c>
      <c r="X83" s="71"/>
      <c r="Y83" s="71"/>
      <c r="Z83" s="71">
        <v>158402.05116999999</v>
      </c>
      <c r="AA83" s="71">
        <f>+[2]balance!$L$47/1000</f>
        <v>245629.04504999999</v>
      </c>
      <c r="AB83" s="71">
        <f>+[3]balance!$L$47/1000</f>
        <v>323028.84191000002</v>
      </c>
      <c r="AC83" s="71">
        <f>+[4]balance!$L$48/1000</f>
        <v>363361.84272999997</v>
      </c>
      <c r="AD83" s="71">
        <f>+[5]balance!$L$48/1000</f>
        <v>400816.09660999995</v>
      </c>
      <c r="AE83" s="71">
        <f>[6]balance!$M$48/1000</f>
        <v>471554.12625999999</v>
      </c>
      <c r="AF83" s="71">
        <f>+[7]balance!$M$48/1000</f>
        <v>574402.97612000001</v>
      </c>
      <c r="AG83" s="71"/>
      <c r="AH83" s="71"/>
      <c r="AI83" s="71"/>
    </row>
    <row r="84" spans="2:40" ht="12" hidden="1" customHeight="1" x14ac:dyDescent="0.25">
      <c r="B84" s="10" t="s">
        <v>99</v>
      </c>
      <c r="C84" s="42">
        <v>4276.3140000000003</v>
      </c>
      <c r="D84" s="42">
        <v>462.30700000000002</v>
      </c>
      <c r="E84" s="42">
        <v>545.41999999999996</v>
      </c>
      <c r="F84" s="42">
        <v>600.928</v>
      </c>
      <c r="G84" s="42">
        <v>1095.7639999999999</v>
      </c>
      <c r="H84" s="42">
        <v>1484.52</v>
      </c>
      <c r="I84" s="42">
        <v>1629.46</v>
      </c>
      <c r="J84" s="42">
        <v>1833.6559999999999</v>
      </c>
      <c r="K84" s="72">
        <v>2069.4415800000002</v>
      </c>
      <c r="L84" s="42">
        <v>388</v>
      </c>
      <c r="M84" s="42">
        <v>402.49902000000003</v>
      </c>
      <c r="N84" s="42">
        <v>451.24826999999999</v>
      </c>
      <c r="O84" s="42">
        <v>696.14109999999994</v>
      </c>
      <c r="P84" s="42">
        <v>897.55804000000001</v>
      </c>
      <c r="Q84" s="42">
        <v>1108.8103700000001</v>
      </c>
      <c r="R84" s="42">
        <v>1160.57437</v>
      </c>
      <c r="S84" s="42">
        <v>1191.2169699999999</v>
      </c>
      <c r="T84" s="72">
        <v>1410.5521000000001</v>
      </c>
      <c r="U84" s="72">
        <f>+[1]balance!$M$66/1000</f>
        <v>1516.21018</v>
      </c>
      <c r="V84" s="72">
        <v>3236.6748199999997</v>
      </c>
      <c r="W84" s="72">
        <v>3236.6748199999997</v>
      </c>
      <c r="X84" s="72"/>
      <c r="Y84" s="72"/>
      <c r="Z84" s="72">
        <v>1184.66623</v>
      </c>
      <c r="AA84" s="72">
        <f>+[2]balance!$L$64/1000</f>
        <v>2500.9611600000003</v>
      </c>
      <c r="AB84" s="72">
        <f>+[3]balance!$L$64/1000</f>
        <v>2527.8361199999999</v>
      </c>
      <c r="AC84" s="72">
        <f>+[4]balance!$L$65/1000</f>
        <v>12621.450199999999</v>
      </c>
      <c r="AD84" s="72">
        <f>+[5]balance!$L$65/1000</f>
        <v>13056.18691</v>
      </c>
      <c r="AE84" s="72">
        <f>[6]balance!$M$65/1000</f>
        <v>14341.93367</v>
      </c>
      <c r="AF84" s="72">
        <f>+[7]balance!$M$66/1000</f>
        <v>17963.82775</v>
      </c>
      <c r="AG84" s="72"/>
      <c r="AH84" s="72"/>
      <c r="AI84" s="72"/>
    </row>
    <row r="85" spans="2:40" ht="12" hidden="1" customHeight="1" x14ac:dyDescent="0.25">
      <c r="B85" s="33"/>
      <c r="C85" s="26">
        <f>+C51+C52-C67-C82</f>
        <v>0</v>
      </c>
      <c r="D85" s="24"/>
      <c r="E85" s="24"/>
      <c r="F85" s="24"/>
      <c r="G85" s="26"/>
      <c r="H85" s="26"/>
      <c r="I85" s="26"/>
      <c r="J85" s="26"/>
      <c r="K85" s="58"/>
      <c r="L85" s="26"/>
      <c r="M85" s="26"/>
      <c r="N85" s="26"/>
      <c r="O85" s="26"/>
      <c r="P85" s="26"/>
      <c r="Q85" s="26"/>
      <c r="R85" s="26"/>
      <c r="S85" s="26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</row>
    <row r="86" spans="2:40" ht="12" hidden="1" customHeight="1" x14ac:dyDescent="0.25">
      <c r="B86" s="33"/>
      <c r="C86" s="26"/>
      <c r="D86" s="24"/>
      <c r="E86" s="24"/>
      <c r="F86" s="24"/>
      <c r="G86" s="26"/>
      <c r="H86" s="26"/>
      <c r="I86" s="26"/>
      <c r="J86" s="26"/>
      <c r="K86" s="58"/>
      <c r="L86" s="26"/>
      <c r="M86" s="26"/>
      <c r="N86" s="26"/>
      <c r="O86" s="26"/>
      <c r="P86" s="26"/>
      <c r="Q86" s="26"/>
      <c r="R86" s="26"/>
      <c r="S86" s="26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</row>
    <row r="87" spans="2:40" ht="12" hidden="1" customHeight="1" x14ac:dyDescent="0.25">
      <c r="C87" s="33"/>
      <c r="D87" s="24"/>
      <c r="E87" s="24"/>
      <c r="F87" s="24"/>
      <c r="G87" s="33"/>
      <c r="H87" s="49"/>
      <c r="I87" s="28"/>
      <c r="J87" s="28"/>
      <c r="K87" s="28"/>
      <c r="L87" s="49"/>
      <c r="M87" s="49"/>
      <c r="N87" s="49"/>
      <c r="O87" s="49"/>
      <c r="P87" s="49"/>
      <c r="Q87" s="49"/>
      <c r="R87" s="49"/>
      <c r="S87" s="49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</row>
    <row r="88" spans="2:40" x14ac:dyDescent="0.25">
      <c r="B88" s="33"/>
      <c r="C88" s="33"/>
      <c r="D88" s="24"/>
      <c r="E88" s="24"/>
      <c r="F88" s="24"/>
      <c r="G88" s="33"/>
      <c r="H88" s="49"/>
      <c r="I88" s="28"/>
      <c r="J88" s="28"/>
      <c r="K88" s="28"/>
      <c r="L88" s="49"/>
      <c r="M88" s="49"/>
      <c r="N88" s="49"/>
      <c r="O88" s="49"/>
      <c r="P88" s="49"/>
      <c r="Q88" s="49"/>
      <c r="R88" s="49"/>
      <c r="S88" s="49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</row>
    <row r="89" spans="2:40" x14ac:dyDescent="0.25">
      <c r="B89" s="43" t="s">
        <v>100</v>
      </c>
      <c r="D89" s="43" t="s">
        <v>101</v>
      </c>
      <c r="E89" s="33" t="s">
        <v>101</v>
      </c>
      <c r="F89" s="33" t="s">
        <v>102</v>
      </c>
      <c r="G89" s="33"/>
      <c r="I89" s="44"/>
      <c r="J89" s="44"/>
      <c r="K89" s="44"/>
      <c r="AJ89" s="24"/>
      <c r="AK89" s="24"/>
      <c r="AL89" s="162"/>
      <c r="AM89" s="33"/>
      <c r="AN89" s="33"/>
    </row>
    <row r="90" spans="2:40" ht="18" customHeight="1" x14ac:dyDescent="0.25">
      <c r="B90" s="43" t="s">
        <v>103</v>
      </c>
      <c r="D90" s="43" t="s">
        <v>104</v>
      </c>
      <c r="E90" s="33" t="s">
        <v>104</v>
      </c>
      <c r="F90" s="59" t="s">
        <v>105</v>
      </c>
      <c r="I90" s="44"/>
      <c r="J90" s="44"/>
      <c r="K90" s="44"/>
      <c r="L90" s="33"/>
    </row>
    <row r="91" spans="2:40" ht="28.5" customHeight="1" x14ac:dyDescent="0.25">
      <c r="D91" s="44"/>
      <c r="E91" s="44"/>
      <c r="F91" s="44"/>
      <c r="I91" s="44"/>
      <c r="J91" s="44"/>
      <c r="K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</row>
    <row r="92" spans="2:40" x14ac:dyDescent="0.25">
      <c r="C92" s="33"/>
      <c r="D92" s="44"/>
      <c r="E92" s="44"/>
      <c r="F92" s="44"/>
      <c r="I92" s="44"/>
      <c r="J92" s="44"/>
      <c r="K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</row>
    <row r="93" spans="2:40" x14ac:dyDescent="0.25">
      <c r="D93" s="44"/>
      <c r="E93" s="44"/>
      <c r="F93" s="44"/>
      <c r="I93" s="44"/>
      <c r="J93" s="44"/>
      <c r="K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</row>
  </sheetData>
  <mergeCells count="22">
    <mergeCell ref="Y5:Y6"/>
    <mergeCell ref="Y39:Y40"/>
    <mergeCell ref="Y65:Y66"/>
    <mergeCell ref="Y80:Y81"/>
    <mergeCell ref="V39:W39"/>
    <mergeCell ref="X5:X6"/>
    <mergeCell ref="B80:B81"/>
    <mergeCell ref="AF5:AG5"/>
    <mergeCell ref="AI5:AI6"/>
    <mergeCell ref="AF39:AG39"/>
    <mergeCell ref="AI39:AI40"/>
    <mergeCell ref="AF65:AG65"/>
    <mergeCell ref="AI65:AI66"/>
    <mergeCell ref="AF80:AG80"/>
    <mergeCell ref="AI80:AI81"/>
    <mergeCell ref="B5:B6"/>
    <mergeCell ref="B39:B40"/>
    <mergeCell ref="B65:B66"/>
    <mergeCell ref="X39:X40"/>
    <mergeCell ref="AH5:AH6"/>
    <mergeCell ref="AH39:AH40"/>
    <mergeCell ref="V5:W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4" workbookViewId="0">
      <selection activeCell="J34" sqref="J34"/>
    </sheetView>
  </sheetViews>
  <sheetFormatPr defaultColWidth="8.88671875" defaultRowHeight="12" x14ac:dyDescent="0.25"/>
  <cols>
    <col min="1" max="1" width="1.6640625" style="44" customWidth="1"/>
    <col min="2" max="2" width="34.88671875" style="44" bestFit="1" customWidth="1"/>
    <col min="3" max="3" width="9.5546875" style="60" bestFit="1" customWidth="1"/>
    <col min="4" max="5" width="10.88671875" style="60" customWidth="1"/>
    <col min="6" max="6" width="9.5546875" style="60" bestFit="1" customWidth="1"/>
    <col min="7" max="7" width="12" style="58" customWidth="1"/>
    <col min="8" max="8" width="13.5546875" style="44" customWidth="1"/>
    <col min="9" max="9" width="11.6640625" style="44" customWidth="1"/>
    <col min="10" max="10" width="11.109375" style="44" customWidth="1"/>
    <col min="11" max="11" width="8.88671875" style="44"/>
    <col min="12" max="12" width="36.44140625" style="44" customWidth="1"/>
    <col min="13" max="16384" width="8.88671875" style="44"/>
  </cols>
  <sheetData>
    <row r="1" spans="1:9" x14ac:dyDescent="0.25">
      <c r="A1" s="57"/>
      <c r="B1" s="57"/>
      <c r="D1" s="323" t="s">
        <v>374</v>
      </c>
      <c r="E1" s="323"/>
      <c r="F1" s="323"/>
    </row>
    <row r="2" spans="1:9" ht="15.6" x14ac:dyDescent="0.3">
      <c r="B2" s="324"/>
      <c r="C2" s="324"/>
      <c r="D2" s="324"/>
      <c r="E2" s="324"/>
      <c r="F2" s="324"/>
    </row>
    <row r="4" spans="1:9" ht="13.2" x14ac:dyDescent="0.25">
      <c r="B4" s="62" t="s">
        <v>1</v>
      </c>
      <c r="C4" s="28"/>
      <c r="D4" s="28"/>
      <c r="E4" s="28"/>
      <c r="F4" s="28"/>
    </row>
    <row r="5" spans="1:9" x14ac:dyDescent="0.25">
      <c r="B5" s="322" t="s">
        <v>2</v>
      </c>
      <c r="C5" s="321" t="s">
        <v>375</v>
      </c>
      <c r="D5" s="321"/>
      <c r="E5" s="321" t="s">
        <v>376</v>
      </c>
      <c r="F5" s="321" t="s">
        <v>375</v>
      </c>
    </row>
    <row r="6" spans="1:9" x14ac:dyDescent="0.25">
      <c r="B6" s="322"/>
      <c r="C6" s="7" t="s">
        <v>106</v>
      </c>
      <c r="D6" s="7" t="s">
        <v>107</v>
      </c>
      <c r="E6" s="321"/>
      <c r="F6" s="321"/>
    </row>
    <row r="7" spans="1:9" x14ac:dyDescent="0.25">
      <c r="B7" s="150" t="s">
        <v>36</v>
      </c>
      <c r="C7" s="12">
        <v>689066.35540999996</v>
      </c>
      <c r="D7" s="12">
        <v>791</v>
      </c>
      <c r="E7" s="12"/>
      <c r="F7" s="12">
        <f>+C7+D7+E7</f>
        <v>689857.35540999996</v>
      </c>
    </row>
    <row r="8" spans="1:9" x14ac:dyDescent="0.25">
      <c r="B8" s="150" t="s">
        <v>37</v>
      </c>
      <c r="C8" s="12">
        <v>4822522.5158799998</v>
      </c>
      <c r="D8" s="12">
        <v>50189</v>
      </c>
      <c r="E8" s="12">
        <f>-42757-10940</f>
        <v>-53697</v>
      </c>
      <c r="F8" s="12">
        <f t="shared" ref="F8:F15" si="0">+C8+D8+E8</f>
        <v>4819014.5158799998</v>
      </c>
    </row>
    <row r="9" spans="1:9" x14ac:dyDescent="0.25">
      <c r="B9" s="150" t="s">
        <v>38</v>
      </c>
      <c r="C9" s="12">
        <v>2505964.3489999999</v>
      </c>
      <c r="D9" s="12"/>
      <c r="E9" s="12"/>
      <c r="F9" s="12">
        <f t="shared" si="0"/>
        <v>2505964.3489999999</v>
      </c>
    </row>
    <row r="10" spans="1:9" x14ac:dyDescent="0.25">
      <c r="B10" s="150" t="s">
        <v>39</v>
      </c>
      <c r="C10" s="12">
        <v>423914.02226</v>
      </c>
      <c r="D10" s="12">
        <v>203</v>
      </c>
      <c r="E10" s="12"/>
      <c r="F10" s="12">
        <f t="shared" si="0"/>
        <v>424117.02226</v>
      </c>
    </row>
    <row r="11" spans="1:9" x14ac:dyDescent="0.25">
      <c r="B11" s="150" t="s">
        <v>40</v>
      </c>
      <c r="C11" s="12">
        <v>859821.1058100001</v>
      </c>
      <c r="D11" s="12">
        <v>802</v>
      </c>
      <c r="E11" s="12"/>
      <c r="F11" s="12">
        <f t="shared" si="0"/>
        <v>860623.1058100001</v>
      </c>
    </row>
    <row r="12" spans="1:9" x14ac:dyDescent="0.25">
      <c r="B12" s="150" t="s">
        <v>41</v>
      </c>
      <c r="C12" s="12">
        <v>1220000</v>
      </c>
      <c r="D12" s="12"/>
      <c r="E12" s="12"/>
      <c r="F12" s="12">
        <f t="shared" si="0"/>
        <v>1220000</v>
      </c>
    </row>
    <row r="13" spans="1:9" x14ac:dyDescent="0.25">
      <c r="B13" s="150" t="s">
        <v>42</v>
      </c>
      <c r="C13" s="12">
        <v>14216.5</v>
      </c>
      <c r="D13" s="12">
        <v>906</v>
      </c>
      <c r="E13" s="12"/>
      <c r="F13" s="12">
        <f t="shared" si="0"/>
        <v>15122.5</v>
      </c>
    </row>
    <row r="14" spans="1:9" x14ac:dyDescent="0.25">
      <c r="B14" s="150" t="s">
        <v>43</v>
      </c>
      <c r="C14" s="12">
        <v>86908.847999999998</v>
      </c>
      <c r="D14" s="12">
        <v>2629125</v>
      </c>
      <c r="E14" s="12">
        <f>-D14</f>
        <v>-2629125</v>
      </c>
      <c r="F14" s="12">
        <f t="shared" si="0"/>
        <v>86908.848000000231</v>
      </c>
      <c r="G14" s="58">
        <v>1051650</v>
      </c>
      <c r="H14" s="58">
        <f>+G14*1000/1000</f>
        <v>1051650</v>
      </c>
    </row>
    <row r="15" spans="1:9" x14ac:dyDescent="0.25">
      <c r="B15" s="150" t="s">
        <v>44</v>
      </c>
      <c r="C15" s="12">
        <v>39033912.650899999</v>
      </c>
      <c r="D15" s="12">
        <v>30000</v>
      </c>
      <c r="E15" s="12">
        <v>-295470.30800000002</v>
      </c>
      <c r="F15" s="12">
        <f t="shared" si="0"/>
        <v>38768442.342900001</v>
      </c>
      <c r="H15" s="44">
        <v>1602164</v>
      </c>
      <c r="I15" s="151">
        <f>+H15*G26</f>
        <v>2511034.2131324005</v>
      </c>
    </row>
    <row r="16" spans="1:9" s="63" customFormat="1" x14ac:dyDescent="0.3">
      <c r="B16" s="23" t="s">
        <v>45</v>
      </c>
      <c r="C16" s="5">
        <f>SUM(C7:C15)</f>
        <v>49656326.347259998</v>
      </c>
      <c r="D16" s="5">
        <f t="shared" ref="D16:E16" si="1">SUM(D7:D15)</f>
        <v>2712016</v>
      </c>
      <c r="E16" s="5">
        <f t="shared" si="1"/>
        <v>-2978292.3080000002</v>
      </c>
      <c r="F16" s="5">
        <f>SUM(F7:F15)</f>
        <v>49390050.03926</v>
      </c>
      <c r="G16" s="147"/>
      <c r="I16" s="158">
        <f>+H14*G26</f>
        <v>1648226.4800861143</v>
      </c>
    </row>
    <row r="17" spans="2:12" x14ac:dyDescent="0.25">
      <c r="B17" s="150" t="s">
        <v>46</v>
      </c>
      <c r="C17" s="12">
        <v>1230992</v>
      </c>
      <c r="D17" s="12">
        <v>113523</v>
      </c>
      <c r="E17" s="12">
        <f>-42757-10940</f>
        <v>-53697</v>
      </c>
      <c r="F17" s="12">
        <f>+C17+D17+E17</f>
        <v>1290818</v>
      </c>
      <c r="I17" s="151">
        <f>SUM(I15:I16)</f>
        <v>4159260.6932185148</v>
      </c>
    </row>
    <row r="18" spans="2:12" x14ac:dyDescent="0.25">
      <c r="B18" s="150" t="s">
        <v>47</v>
      </c>
      <c r="C18" s="12">
        <v>1080072.8500000001</v>
      </c>
      <c r="D18" s="12"/>
      <c r="E18" s="12"/>
      <c r="F18" s="12">
        <f t="shared" ref="F18:F23" si="2">+C18+D18+E18</f>
        <v>1080072.8500000001</v>
      </c>
    </row>
    <row r="19" spans="2:12" x14ac:dyDescent="0.25">
      <c r="B19" s="150" t="s">
        <v>48</v>
      </c>
      <c r="C19" s="12">
        <v>67354.366779999997</v>
      </c>
      <c r="D19" s="12">
        <v>54</v>
      </c>
      <c r="E19" s="12"/>
      <c r="F19" s="12">
        <f t="shared" si="2"/>
        <v>67408.366779999997</v>
      </c>
      <c r="I19" s="151">
        <f>+C26</f>
        <v>-160216</v>
      </c>
    </row>
    <row r="20" spans="2:12" x14ac:dyDescent="0.25">
      <c r="B20" s="150" t="s">
        <v>49</v>
      </c>
      <c r="C20" s="12">
        <v>22032.010999999999</v>
      </c>
      <c r="D20" s="12"/>
      <c r="E20" s="12"/>
      <c r="F20" s="12">
        <f t="shared" si="2"/>
        <v>22032.010999999999</v>
      </c>
      <c r="I20" s="151">
        <f>SUM(I17:I19)</f>
        <v>3999044.6932185148</v>
      </c>
    </row>
    <row r="21" spans="2:12" x14ac:dyDescent="0.25">
      <c r="B21" s="150" t="s">
        <v>50</v>
      </c>
      <c r="C21" s="12">
        <v>69726.745719999992</v>
      </c>
      <c r="D21" s="12">
        <v>6</v>
      </c>
      <c r="E21" s="12"/>
      <c r="F21" s="12">
        <f t="shared" si="2"/>
        <v>69732.745719999992</v>
      </c>
      <c r="I21" s="151"/>
    </row>
    <row r="22" spans="2:12" x14ac:dyDescent="0.25">
      <c r="B22" s="150" t="s">
        <v>51</v>
      </c>
      <c r="C22" s="12">
        <v>2781782.4989999998</v>
      </c>
      <c r="D22" s="12"/>
      <c r="E22" s="12"/>
      <c r="F22" s="12">
        <f t="shared" si="2"/>
        <v>2781782.4989999998</v>
      </c>
      <c r="H22" s="151">
        <v>1648226</v>
      </c>
    </row>
    <row r="23" spans="2:12" x14ac:dyDescent="0.25">
      <c r="B23" s="150" t="s">
        <v>52</v>
      </c>
      <c r="C23" s="12">
        <v>1292210.5260000001</v>
      </c>
      <c r="D23" s="12">
        <v>102561</v>
      </c>
      <c r="E23" s="12">
        <v>-114778.01442000001</v>
      </c>
      <c r="F23" s="12">
        <f t="shared" si="2"/>
        <v>1279993.5115800002</v>
      </c>
      <c r="G23" s="58">
        <f>+E23+D23</f>
        <v>-12217.014420000007</v>
      </c>
    </row>
    <row r="24" spans="2:12" x14ac:dyDescent="0.25">
      <c r="B24" s="152" t="s">
        <v>377</v>
      </c>
      <c r="C24" s="153">
        <f>SUM(C17:C23)</f>
        <v>6544170.9985000007</v>
      </c>
      <c r="D24" s="153">
        <f t="shared" ref="D24:F24" si="3">SUM(D17:D23)</f>
        <v>216144</v>
      </c>
      <c r="E24" s="153">
        <f t="shared" si="3"/>
        <v>-168475.01442000002</v>
      </c>
      <c r="F24" s="153">
        <f t="shared" si="3"/>
        <v>6591839.9840799998</v>
      </c>
    </row>
    <row r="25" spans="2:12" x14ac:dyDescent="0.25">
      <c r="B25" s="150" t="s">
        <v>55</v>
      </c>
      <c r="C25" s="12">
        <v>1879653</v>
      </c>
      <c r="D25" s="12">
        <v>1665938</v>
      </c>
      <c r="E25" s="12">
        <v>27579706</v>
      </c>
      <c r="F25" s="12">
        <f>+C25+D25+E25</f>
        <v>31125297</v>
      </c>
      <c r="H25" s="65">
        <v>29459359</v>
      </c>
      <c r="I25" s="65">
        <f>+H25-C25</f>
        <v>27579706</v>
      </c>
    </row>
    <row r="26" spans="2:12" x14ac:dyDescent="0.25">
      <c r="B26" s="150" t="s">
        <v>163</v>
      </c>
      <c r="C26" s="12">
        <v>-160216</v>
      </c>
      <c r="D26" s="12"/>
      <c r="E26" s="12">
        <f>-2350818-1648226-159026</f>
        <v>-4158070</v>
      </c>
      <c r="F26" s="12">
        <f t="shared" ref="F26:F29" si="4">+C26+D26+E26</f>
        <v>-4318286</v>
      </c>
      <c r="G26" s="154">
        <v>1.5672766415500539</v>
      </c>
      <c r="H26" s="151">
        <f>+G26*C26*10</f>
        <v>-2511027.9440258346</v>
      </c>
      <c r="I26" s="151">
        <v>-1459377.9440258299</v>
      </c>
      <c r="J26" s="151">
        <v>2511034</v>
      </c>
      <c r="L26" s="12" t="s">
        <v>391</v>
      </c>
    </row>
    <row r="27" spans="2:12" x14ac:dyDescent="0.25">
      <c r="B27" s="150" t="s">
        <v>56</v>
      </c>
      <c r="C27" s="12">
        <v>9929060.7085599992</v>
      </c>
      <c r="D27" s="12">
        <v>41897</v>
      </c>
      <c r="E27" s="12">
        <f>2350818-11769910.08895+44710.3803899884-596575.999999987</f>
        <v>-9970957.7085599992</v>
      </c>
      <c r="F27" s="12">
        <f>+C27+D27+E27</f>
        <v>0</v>
      </c>
      <c r="G27" s="58">
        <v>11769910.088950001</v>
      </c>
      <c r="H27" s="44">
        <v>10744300.708559999</v>
      </c>
      <c r="J27" s="60">
        <f>+J26*1000/1000</f>
        <v>2511034</v>
      </c>
    </row>
    <row r="28" spans="2:12" x14ac:dyDescent="0.25">
      <c r="B28" s="150" t="s">
        <v>378</v>
      </c>
      <c r="C28" s="12">
        <v>7350221</v>
      </c>
      <c r="D28" s="12">
        <v>923048</v>
      </c>
      <c r="E28" s="12">
        <f>-D28-109953.1297</f>
        <v>-1033001.1297</v>
      </c>
      <c r="F28" s="12">
        <f t="shared" si="4"/>
        <v>7240267.8702999996</v>
      </c>
      <c r="J28" s="65">
        <f>+J27+C26</f>
        <v>2350818</v>
      </c>
    </row>
    <row r="29" spans="2:12" x14ac:dyDescent="0.25">
      <c r="B29" s="150" t="s">
        <v>58</v>
      </c>
      <c r="C29" s="12">
        <v>13799.079</v>
      </c>
      <c r="D29" s="12"/>
      <c r="E29" s="12"/>
      <c r="F29" s="12">
        <f t="shared" si="4"/>
        <v>13799.079</v>
      </c>
    </row>
    <row r="30" spans="2:12" x14ac:dyDescent="0.25">
      <c r="B30" s="155" t="s">
        <v>59</v>
      </c>
      <c r="C30" s="20">
        <f>+C31+C32</f>
        <v>24099636.872900002</v>
      </c>
      <c r="D30" s="20">
        <f t="shared" ref="D30:E30" si="5">+D31+D32</f>
        <v>-135010.69209</v>
      </c>
      <c r="E30" s="20">
        <f t="shared" si="5"/>
        <v>-15227494.07493001</v>
      </c>
      <c r="F30" s="20">
        <f>+C30+D30+E30</f>
        <v>8737132.1058799904</v>
      </c>
    </row>
    <row r="31" spans="2:12" x14ac:dyDescent="0.25">
      <c r="B31" s="22" t="s">
        <v>60</v>
      </c>
      <c r="C31" s="12">
        <v>23075832.24828</v>
      </c>
      <c r="D31" s="12">
        <v>-69153</v>
      </c>
      <c r="E31" s="12">
        <f>-15809795.91105+596575.999999987-14274.163879998</f>
        <v>-15227494.07493001</v>
      </c>
      <c r="F31" s="12">
        <f>+C31+D31+E31</f>
        <v>7779185.1733499896</v>
      </c>
    </row>
    <row r="32" spans="2:12" x14ac:dyDescent="0.25">
      <c r="B32" s="22" t="s">
        <v>61</v>
      </c>
      <c r="C32" s="12">
        <v>1023804.6246200007</v>
      </c>
      <c r="D32" s="12">
        <v>-65857.692089999997</v>
      </c>
      <c r="E32" s="12"/>
      <c r="F32" s="12">
        <f>+C32+D32+E32</f>
        <v>957946.93253000069</v>
      </c>
    </row>
    <row r="33" spans="2:9" x14ac:dyDescent="0.25">
      <c r="B33" s="15" t="s">
        <v>62</v>
      </c>
      <c r="C33" s="17">
        <f>+SUM(C25:C29)+C30</f>
        <v>43112154.660459995</v>
      </c>
      <c r="D33" s="17">
        <f>+SUM(D25:D29)+D30</f>
        <v>2495872.30791</v>
      </c>
      <c r="E33" s="17">
        <f>+SUM(E25:E29)+E30</f>
        <v>-2809816.9131900091</v>
      </c>
      <c r="F33" s="17">
        <f>+SUM(F25:F29)+F30</f>
        <v>42798210.055179998</v>
      </c>
    </row>
    <row r="34" spans="2:9" x14ac:dyDescent="0.25">
      <c r="B34" s="156" t="s">
        <v>63</v>
      </c>
      <c r="C34" s="14">
        <f>+C24+C33</f>
        <v>49656325.65896</v>
      </c>
      <c r="D34" s="14">
        <f>+D24+D33</f>
        <v>2712016.30791</v>
      </c>
      <c r="E34" s="14">
        <f>+E24+E33</f>
        <v>-2978291.927610009</v>
      </c>
      <c r="F34" s="14">
        <f>+F24+F33</f>
        <v>49390050.03926</v>
      </c>
    </row>
    <row r="35" spans="2:9" x14ac:dyDescent="0.25">
      <c r="B35" s="33"/>
      <c r="C35" s="24"/>
      <c r="D35" s="24">
        <f>+D34-D16</f>
        <v>0.30790999997407198</v>
      </c>
      <c r="E35" s="24"/>
      <c r="F35" s="24">
        <f>+F34-F16</f>
        <v>0</v>
      </c>
      <c r="G35" s="24"/>
      <c r="H35" s="33"/>
      <c r="I35" s="33"/>
    </row>
    <row r="36" spans="2:9" x14ac:dyDescent="0.25">
      <c r="B36" s="33"/>
      <c r="C36" s="24"/>
      <c r="D36" s="24"/>
      <c r="E36" s="24"/>
      <c r="F36" s="66"/>
      <c r="G36" s="24"/>
      <c r="H36" s="33"/>
      <c r="I36" s="33"/>
    </row>
    <row r="37" spans="2:9" ht="13.2" x14ac:dyDescent="0.25">
      <c r="B37" s="25" t="s">
        <v>64</v>
      </c>
      <c r="C37" s="27"/>
      <c r="D37" s="27"/>
      <c r="E37" s="27"/>
      <c r="F37" s="27"/>
      <c r="G37" s="24"/>
      <c r="H37" s="33"/>
    </row>
    <row r="38" spans="2:9" x14ac:dyDescent="0.25">
      <c r="B38" s="320" t="s">
        <v>65</v>
      </c>
      <c r="C38" s="321" t="s">
        <v>22</v>
      </c>
      <c r="D38" s="321"/>
      <c r="E38" s="321" t="s">
        <v>376</v>
      </c>
      <c r="F38" s="321" t="s">
        <v>22</v>
      </c>
      <c r="G38" s="24"/>
      <c r="H38" s="33"/>
      <c r="I38" s="33"/>
    </row>
    <row r="39" spans="2:9" s="63" customFormat="1" x14ac:dyDescent="0.3">
      <c r="B39" s="320"/>
      <c r="C39" s="7" t="s">
        <v>106</v>
      </c>
      <c r="D39" s="7" t="s">
        <v>107</v>
      </c>
      <c r="E39" s="321"/>
      <c r="F39" s="321"/>
      <c r="G39" s="45"/>
      <c r="H39" s="30"/>
    </row>
    <row r="40" spans="2:9" x14ac:dyDescent="0.25">
      <c r="B40" s="10" t="s">
        <v>66</v>
      </c>
      <c r="C40" s="11">
        <v>2385402</v>
      </c>
      <c r="D40" s="11">
        <v>148726</v>
      </c>
      <c r="E40" s="11"/>
      <c r="F40" s="12">
        <f>+C40+D40+E40</f>
        <v>2534128</v>
      </c>
      <c r="G40" s="24"/>
      <c r="H40" s="33"/>
    </row>
    <row r="41" spans="2:9" x14ac:dyDescent="0.25">
      <c r="B41" s="34" t="s">
        <v>67</v>
      </c>
      <c r="C41" s="35"/>
      <c r="D41" s="35"/>
      <c r="E41" s="35"/>
      <c r="F41" s="12">
        <f>+C41+D41+E41</f>
        <v>0</v>
      </c>
      <c r="G41" s="24"/>
      <c r="H41" s="33"/>
    </row>
    <row r="42" spans="2:9" s="39" customFormat="1" ht="11.4" x14ac:dyDescent="0.2">
      <c r="B42" s="21" t="s">
        <v>68</v>
      </c>
      <c r="C42" s="40">
        <f>SUM(C40:C41)</f>
        <v>2385402</v>
      </c>
      <c r="D42" s="40">
        <f t="shared" ref="D42:F42" si="6">SUM(D40:D41)</f>
        <v>148726</v>
      </c>
      <c r="E42" s="40">
        <f t="shared" si="6"/>
        <v>0</v>
      </c>
      <c r="F42" s="40">
        <f t="shared" si="6"/>
        <v>2534128</v>
      </c>
      <c r="G42" s="52"/>
      <c r="H42" s="41"/>
    </row>
    <row r="43" spans="2:9" x14ac:dyDescent="0.25">
      <c r="B43" s="10" t="s">
        <v>69</v>
      </c>
      <c r="C43" s="24">
        <v>529601.65841999999</v>
      </c>
      <c r="D43" s="24">
        <v>322</v>
      </c>
      <c r="E43" s="24"/>
      <c r="F43" s="12">
        <f>+C43+D43</f>
        <v>529923.65841999999</v>
      </c>
      <c r="G43" s="24"/>
      <c r="H43" s="33"/>
    </row>
    <row r="44" spans="2:9" x14ac:dyDescent="0.25">
      <c r="B44" s="10" t="s">
        <v>70</v>
      </c>
      <c r="C44" s="24">
        <v>356850.61465</v>
      </c>
      <c r="D44" s="24">
        <v>3289</v>
      </c>
      <c r="E44" s="24"/>
      <c r="F44" s="12">
        <f t="shared" ref="F44:F47" si="7">+C44+D44</f>
        <v>360139.61465</v>
      </c>
      <c r="G44" s="24"/>
      <c r="H44" s="33"/>
    </row>
    <row r="45" spans="2:9" s="67" customFormat="1" x14ac:dyDescent="0.25">
      <c r="B45" s="10" t="s">
        <v>71</v>
      </c>
      <c r="C45" s="24">
        <v>318344.37774999999</v>
      </c>
      <c r="D45" s="24">
        <v>0</v>
      </c>
      <c r="E45" s="24"/>
      <c r="F45" s="12">
        <f t="shared" si="7"/>
        <v>318344.37774999999</v>
      </c>
      <c r="G45" s="71"/>
      <c r="H45" s="43"/>
    </row>
    <row r="46" spans="2:9" x14ac:dyDescent="0.25">
      <c r="B46" s="10" t="s">
        <v>72</v>
      </c>
      <c r="C46" s="24">
        <v>88000</v>
      </c>
      <c r="D46" s="24">
        <v>0</v>
      </c>
      <c r="E46" s="24"/>
      <c r="F46" s="12">
        <f t="shared" si="7"/>
        <v>88000</v>
      </c>
      <c r="G46" s="24"/>
      <c r="H46" s="33"/>
    </row>
    <row r="47" spans="2:9" x14ac:dyDescent="0.25">
      <c r="B47" s="10" t="s">
        <v>73</v>
      </c>
      <c r="C47" s="24"/>
      <c r="D47" s="24"/>
      <c r="E47" s="24"/>
      <c r="F47" s="12">
        <f t="shared" si="7"/>
        <v>0</v>
      </c>
      <c r="G47" s="24"/>
      <c r="H47" s="33"/>
    </row>
    <row r="48" spans="2:9" x14ac:dyDescent="0.25">
      <c r="B48" s="73" t="s">
        <v>74</v>
      </c>
      <c r="C48" s="74">
        <f>SUM(C43:C47)+C42</f>
        <v>3678198.6508200001</v>
      </c>
      <c r="D48" s="74">
        <f t="shared" ref="D48:F48" si="8">SUM(D43:D47)+D42</f>
        <v>152337</v>
      </c>
      <c r="E48" s="74">
        <f t="shared" si="8"/>
        <v>0</v>
      </c>
      <c r="F48" s="74">
        <f t="shared" si="8"/>
        <v>3830535.6508200001</v>
      </c>
      <c r="G48" s="24"/>
      <c r="H48" s="33"/>
    </row>
    <row r="49" spans="2:8" s="63" customFormat="1" x14ac:dyDescent="0.3">
      <c r="B49" s="10" t="s">
        <v>75</v>
      </c>
      <c r="C49" s="45">
        <v>375573.36300999997</v>
      </c>
      <c r="D49" s="45">
        <v>69197.292090000003</v>
      </c>
      <c r="E49" s="45"/>
      <c r="F49" s="12">
        <f>+C49+D49+E49</f>
        <v>444770.65509999997</v>
      </c>
      <c r="G49" s="45"/>
      <c r="H49" s="30"/>
    </row>
    <row r="50" spans="2:8" x14ac:dyDescent="0.25">
      <c r="B50" s="10" t="s">
        <v>76</v>
      </c>
      <c r="C50" s="24">
        <v>1959630.0286599994</v>
      </c>
      <c r="D50" s="24">
        <v>134266</v>
      </c>
      <c r="E50" s="24"/>
      <c r="F50" s="12">
        <f t="shared" ref="F50:F51" si="9">+C50+D50+E50</f>
        <v>2093896.0286599994</v>
      </c>
      <c r="G50" s="24"/>
      <c r="H50" s="33"/>
    </row>
    <row r="51" spans="2:8" x14ac:dyDescent="0.25">
      <c r="B51" s="10" t="s">
        <v>77</v>
      </c>
      <c r="C51" s="24">
        <v>397262.80229000002</v>
      </c>
      <c r="D51" s="24">
        <v>14827</v>
      </c>
      <c r="E51" s="24"/>
      <c r="F51" s="12">
        <f t="shared" si="9"/>
        <v>412089.80229000002</v>
      </c>
      <c r="G51" s="24"/>
      <c r="H51" s="33"/>
    </row>
    <row r="52" spans="2:8" x14ac:dyDescent="0.25">
      <c r="B52" s="73" t="s">
        <v>78</v>
      </c>
      <c r="C52" s="75">
        <f>SUM(C49:C51)</f>
        <v>2732466.1939599994</v>
      </c>
      <c r="D52" s="75">
        <f t="shared" ref="D52:F52" si="10">SUM(D49:D51)</f>
        <v>218290.29209</v>
      </c>
      <c r="E52" s="75">
        <f t="shared" si="10"/>
        <v>0</v>
      </c>
      <c r="F52" s="75">
        <f t="shared" si="10"/>
        <v>2950756.4860499995</v>
      </c>
      <c r="G52" s="24"/>
      <c r="H52" s="33"/>
    </row>
    <row r="53" spans="2:8" s="63" customFormat="1" x14ac:dyDescent="0.3">
      <c r="B53" s="34" t="s">
        <v>81</v>
      </c>
      <c r="C53" s="47">
        <v>283854.46373000002</v>
      </c>
      <c r="D53" s="47">
        <v>626</v>
      </c>
      <c r="E53" s="47"/>
      <c r="F53" s="12">
        <v>284480.46373000002</v>
      </c>
      <c r="G53" s="45"/>
      <c r="H53" s="30"/>
    </row>
    <row r="54" spans="2:8" x14ac:dyDescent="0.25">
      <c r="B54" s="10" t="s">
        <v>80</v>
      </c>
      <c r="C54" s="24">
        <v>-98504.679790000009</v>
      </c>
      <c r="D54" s="24">
        <v>-169.4</v>
      </c>
      <c r="E54" s="24"/>
      <c r="F54" s="12">
        <v>-98674.079790000003</v>
      </c>
      <c r="G54" s="24"/>
      <c r="H54" s="33"/>
    </row>
    <row r="55" spans="2:8" x14ac:dyDescent="0.25">
      <c r="B55" s="21" t="s">
        <v>81</v>
      </c>
      <c r="C55" s="40">
        <f>SUM(C53:C54)</f>
        <v>185349.78393999999</v>
      </c>
      <c r="D55" s="40">
        <f t="shared" ref="D55:F55" si="11">SUM(D53:D54)</f>
        <v>456.6</v>
      </c>
      <c r="E55" s="40">
        <f t="shared" si="11"/>
        <v>0</v>
      </c>
      <c r="F55" s="40">
        <f t="shared" si="11"/>
        <v>185806.38394000003</v>
      </c>
      <c r="G55" s="24"/>
      <c r="H55" s="33"/>
    </row>
    <row r="56" spans="2:8" s="68" customFormat="1" x14ac:dyDescent="0.3">
      <c r="B56" s="69" t="s">
        <v>82</v>
      </c>
      <c r="C56" s="40">
        <f>+C48-C52+C55</f>
        <v>1131082.2408000007</v>
      </c>
      <c r="D56" s="40">
        <f>+D48-D52+D55</f>
        <v>-65496.692090000004</v>
      </c>
      <c r="E56" s="40">
        <f t="shared" ref="E56:F56" si="12">+E48-E52+E55</f>
        <v>0</v>
      </c>
      <c r="F56" s="40">
        <f t="shared" si="12"/>
        <v>1065585.5487100007</v>
      </c>
      <c r="G56" s="47"/>
      <c r="H56" s="48"/>
    </row>
    <row r="57" spans="2:8" x14ac:dyDescent="0.25">
      <c r="B57" s="10" t="s">
        <v>83</v>
      </c>
      <c r="C57" s="24">
        <v>107277.61618000001</v>
      </c>
      <c r="D57" s="24">
        <v>361</v>
      </c>
      <c r="E57" s="24"/>
      <c r="F57" s="12">
        <v>107638.61618000001</v>
      </c>
      <c r="G57" s="24"/>
      <c r="H57" s="33"/>
    </row>
    <row r="58" spans="2:8" x14ac:dyDescent="0.25">
      <c r="B58" s="23" t="s">
        <v>84</v>
      </c>
      <c r="C58" s="5">
        <f>+C56-C57</f>
        <v>1023804.6246200007</v>
      </c>
      <c r="D58" s="5">
        <f t="shared" ref="D58:F58" si="13">+D56-D57</f>
        <v>-65857.692089999997</v>
      </c>
      <c r="E58" s="5">
        <f t="shared" si="13"/>
        <v>0</v>
      </c>
      <c r="F58" s="5">
        <f t="shared" si="13"/>
        <v>957946.93253000069</v>
      </c>
      <c r="G58" s="24"/>
      <c r="H58" s="33"/>
    </row>
    <row r="59" spans="2:8" x14ac:dyDescent="0.25">
      <c r="B59" s="21"/>
      <c r="C59" s="50"/>
      <c r="D59" s="50"/>
      <c r="E59" s="50"/>
      <c r="F59" s="50"/>
    </row>
    <row r="60" spans="2:8" x14ac:dyDescent="0.25">
      <c r="B60" s="21"/>
      <c r="C60" s="50"/>
      <c r="D60" s="50"/>
      <c r="E60" s="50"/>
      <c r="F60" s="50"/>
    </row>
    <row r="61" spans="2:8" x14ac:dyDescent="0.25">
      <c r="B61" s="21"/>
      <c r="C61" s="50"/>
      <c r="D61" s="50"/>
      <c r="E61" s="50"/>
      <c r="F61" s="50"/>
    </row>
    <row r="62" spans="2:8" x14ac:dyDescent="0.25">
      <c r="B62" s="21"/>
      <c r="C62" s="50"/>
      <c r="D62" s="50"/>
      <c r="E62" s="50"/>
      <c r="F62" s="50"/>
    </row>
  </sheetData>
  <mergeCells count="10">
    <mergeCell ref="B38:B39"/>
    <mergeCell ref="C38:D38"/>
    <mergeCell ref="E38:E39"/>
    <mergeCell ref="F38:F39"/>
    <mergeCell ref="D1:F1"/>
    <mergeCell ref="B2:F2"/>
    <mergeCell ref="B5:B6"/>
    <mergeCell ref="C5:D5"/>
    <mergeCell ref="E5:E6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0"/>
  <sheetViews>
    <sheetView topLeftCell="A43" zoomScale="80" zoomScaleNormal="80" workbookViewId="0">
      <selection activeCell="C80" sqref="C80"/>
    </sheetView>
  </sheetViews>
  <sheetFormatPr defaultRowHeight="13.8" x14ac:dyDescent="0.3"/>
  <cols>
    <col min="1" max="1" width="5" style="76" customWidth="1"/>
    <col min="2" max="2" width="50" style="76" bestFit="1" customWidth="1"/>
    <col min="3" max="3" width="27.109375" style="76" bestFit="1" customWidth="1"/>
    <col min="4" max="4" width="28.44140625" style="76" bestFit="1" customWidth="1"/>
    <col min="5" max="5" width="15.44140625" style="76" customWidth="1"/>
    <col min="6" max="6" width="17.44140625" style="76" customWidth="1"/>
    <col min="7" max="7" width="18.6640625" style="76" bestFit="1" customWidth="1"/>
    <col min="8" max="8" width="28.33203125" style="118" bestFit="1" customWidth="1"/>
    <col min="9" max="9" width="13.5546875" style="76" bestFit="1" customWidth="1"/>
    <col min="10" max="256" width="9.109375" style="76"/>
    <col min="257" max="257" width="5" style="76" customWidth="1"/>
    <col min="258" max="258" width="50" style="76" bestFit="1" customWidth="1"/>
    <col min="259" max="259" width="27.109375" style="76" bestFit="1" customWidth="1"/>
    <col min="260" max="260" width="28.44140625" style="76" bestFit="1" customWidth="1"/>
    <col min="261" max="261" width="14.109375" style="76" bestFit="1" customWidth="1"/>
    <col min="262" max="262" width="14.5546875" style="76" bestFit="1" customWidth="1"/>
    <col min="263" max="263" width="17" style="76" bestFit="1" customWidth="1"/>
    <col min="264" max="264" width="28.33203125" style="76" bestFit="1" customWidth="1"/>
    <col min="265" max="265" width="13.5546875" style="76" bestFit="1" customWidth="1"/>
    <col min="266" max="512" width="9.109375" style="76"/>
    <col min="513" max="513" width="5" style="76" customWidth="1"/>
    <col min="514" max="514" width="50" style="76" bestFit="1" customWidth="1"/>
    <col min="515" max="515" width="27.109375" style="76" bestFit="1" customWidth="1"/>
    <col min="516" max="516" width="28.44140625" style="76" bestFit="1" customWidth="1"/>
    <col min="517" max="517" width="14.109375" style="76" bestFit="1" customWidth="1"/>
    <col min="518" max="518" width="14.5546875" style="76" bestFit="1" customWidth="1"/>
    <col min="519" max="519" width="17" style="76" bestFit="1" customWidth="1"/>
    <col min="520" max="520" width="28.33203125" style="76" bestFit="1" customWidth="1"/>
    <col min="521" max="521" width="13.5546875" style="76" bestFit="1" customWidth="1"/>
    <col min="522" max="768" width="9.109375" style="76"/>
    <col min="769" max="769" width="5" style="76" customWidth="1"/>
    <col min="770" max="770" width="50" style="76" bestFit="1" customWidth="1"/>
    <col min="771" max="771" width="27.109375" style="76" bestFit="1" customWidth="1"/>
    <col min="772" max="772" width="28.44140625" style="76" bestFit="1" customWidth="1"/>
    <col min="773" max="773" width="14.109375" style="76" bestFit="1" customWidth="1"/>
    <col min="774" max="774" width="14.5546875" style="76" bestFit="1" customWidth="1"/>
    <col min="775" max="775" width="17" style="76" bestFit="1" customWidth="1"/>
    <col min="776" max="776" width="28.33203125" style="76" bestFit="1" customWidth="1"/>
    <col min="777" max="777" width="13.5546875" style="76" bestFit="1" customWidth="1"/>
    <col min="778" max="1024" width="9.109375" style="76"/>
    <col min="1025" max="1025" width="5" style="76" customWidth="1"/>
    <col min="1026" max="1026" width="50" style="76" bestFit="1" customWidth="1"/>
    <col min="1027" max="1027" width="27.109375" style="76" bestFit="1" customWidth="1"/>
    <col min="1028" max="1028" width="28.44140625" style="76" bestFit="1" customWidth="1"/>
    <col min="1029" max="1029" width="14.109375" style="76" bestFit="1" customWidth="1"/>
    <col min="1030" max="1030" width="14.5546875" style="76" bestFit="1" customWidth="1"/>
    <col min="1031" max="1031" width="17" style="76" bestFit="1" customWidth="1"/>
    <col min="1032" max="1032" width="28.33203125" style="76" bestFit="1" customWidth="1"/>
    <col min="1033" max="1033" width="13.5546875" style="76" bestFit="1" customWidth="1"/>
    <col min="1034" max="1280" width="9.109375" style="76"/>
    <col min="1281" max="1281" width="5" style="76" customWidth="1"/>
    <col min="1282" max="1282" width="50" style="76" bestFit="1" customWidth="1"/>
    <col min="1283" max="1283" width="27.109375" style="76" bestFit="1" customWidth="1"/>
    <col min="1284" max="1284" width="28.44140625" style="76" bestFit="1" customWidth="1"/>
    <col min="1285" max="1285" width="14.109375" style="76" bestFit="1" customWidth="1"/>
    <col min="1286" max="1286" width="14.5546875" style="76" bestFit="1" customWidth="1"/>
    <col min="1287" max="1287" width="17" style="76" bestFit="1" customWidth="1"/>
    <col min="1288" max="1288" width="28.33203125" style="76" bestFit="1" customWidth="1"/>
    <col min="1289" max="1289" width="13.5546875" style="76" bestFit="1" customWidth="1"/>
    <col min="1290" max="1536" width="9.109375" style="76"/>
    <col min="1537" max="1537" width="5" style="76" customWidth="1"/>
    <col min="1538" max="1538" width="50" style="76" bestFit="1" customWidth="1"/>
    <col min="1539" max="1539" width="27.109375" style="76" bestFit="1" customWidth="1"/>
    <col min="1540" max="1540" width="28.44140625" style="76" bestFit="1" customWidth="1"/>
    <col min="1541" max="1541" width="14.109375" style="76" bestFit="1" customWidth="1"/>
    <col min="1542" max="1542" width="14.5546875" style="76" bestFit="1" customWidth="1"/>
    <col min="1543" max="1543" width="17" style="76" bestFit="1" customWidth="1"/>
    <col min="1544" max="1544" width="28.33203125" style="76" bestFit="1" customWidth="1"/>
    <col min="1545" max="1545" width="13.5546875" style="76" bestFit="1" customWidth="1"/>
    <col min="1546" max="1792" width="9.109375" style="76"/>
    <col min="1793" max="1793" width="5" style="76" customWidth="1"/>
    <col min="1794" max="1794" width="50" style="76" bestFit="1" customWidth="1"/>
    <col min="1795" max="1795" width="27.109375" style="76" bestFit="1" customWidth="1"/>
    <col min="1796" max="1796" width="28.44140625" style="76" bestFit="1" customWidth="1"/>
    <col min="1797" max="1797" width="14.109375" style="76" bestFit="1" customWidth="1"/>
    <col min="1798" max="1798" width="14.5546875" style="76" bestFit="1" customWidth="1"/>
    <col min="1799" max="1799" width="17" style="76" bestFit="1" customWidth="1"/>
    <col min="1800" max="1800" width="28.33203125" style="76" bestFit="1" customWidth="1"/>
    <col min="1801" max="1801" width="13.5546875" style="76" bestFit="1" customWidth="1"/>
    <col min="1802" max="2048" width="9.109375" style="76"/>
    <col min="2049" max="2049" width="5" style="76" customWidth="1"/>
    <col min="2050" max="2050" width="50" style="76" bestFit="1" customWidth="1"/>
    <col min="2051" max="2051" width="27.109375" style="76" bestFit="1" customWidth="1"/>
    <col min="2052" max="2052" width="28.44140625" style="76" bestFit="1" customWidth="1"/>
    <col min="2053" max="2053" width="14.109375" style="76" bestFit="1" customWidth="1"/>
    <col min="2054" max="2054" width="14.5546875" style="76" bestFit="1" customWidth="1"/>
    <col min="2055" max="2055" width="17" style="76" bestFit="1" customWidth="1"/>
    <col min="2056" max="2056" width="28.33203125" style="76" bestFit="1" customWidth="1"/>
    <col min="2057" max="2057" width="13.5546875" style="76" bestFit="1" customWidth="1"/>
    <col min="2058" max="2304" width="9.109375" style="76"/>
    <col min="2305" max="2305" width="5" style="76" customWidth="1"/>
    <col min="2306" max="2306" width="50" style="76" bestFit="1" customWidth="1"/>
    <col min="2307" max="2307" width="27.109375" style="76" bestFit="1" customWidth="1"/>
    <col min="2308" max="2308" width="28.44140625" style="76" bestFit="1" customWidth="1"/>
    <col min="2309" max="2309" width="14.109375" style="76" bestFit="1" customWidth="1"/>
    <col min="2310" max="2310" width="14.5546875" style="76" bestFit="1" customWidth="1"/>
    <col min="2311" max="2311" width="17" style="76" bestFit="1" customWidth="1"/>
    <col min="2312" max="2312" width="28.33203125" style="76" bestFit="1" customWidth="1"/>
    <col min="2313" max="2313" width="13.5546875" style="76" bestFit="1" customWidth="1"/>
    <col min="2314" max="2560" width="9.109375" style="76"/>
    <col min="2561" max="2561" width="5" style="76" customWidth="1"/>
    <col min="2562" max="2562" width="50" style="76" bestFit="1" customWidth="1"/>
    <col min="2563" max="2563" width="27.109375" style="76" bestFit="1" customWidth="1"/>
    <col min="2564" max="2564" width="28.44140625" style="76" bestFit="1" customWidth="1"/>
    <col min="2565" max="2565" width="14.109375" style="76" bestFit="1" customWidth="1"/>
    <col min="2566" max="2566" width="14.5546875" style="76" bestFit="1" customWidth="1"/>
    <col min="2567" max="2567" width="17" style="76" bestFit="1" customWidth="1"/>
    <col min="2568" max="2568" width="28.33203125" style="76" bestFit="1" customWidth="1"/>
    <col min="2569" max="2569" width="13.5546875" style="76" bestFit="1" customWidth="1"/>
    <col min="2570" max="2816" width="9.109375" style="76"/>
    <col min="2817" max="2817" width="5" style="76" customWidth="1"/>
    <col min="2818" max="2818" width="50" style="76" bestFit="1" customWidth="1"/>
    <col min="2819" max="2819" width="27.109375" style="76" bestFit="1" customWidth="1"/>
    <col min="2820" max="2820" width="28.44140625" style="76" bestFit="1" customWidth="1"/>
    <col min="2821" max="2821" width="14.109375" style="76" bestFit="1" customWidth="1"/>
    <col min="2822" max="2822" width="14.5546875" style="76" bestFit="1" customWidth="1"/>
    <col min="2823" max="2823" width="17" style="76" bestFit="1" customWidth="1"/>
    <col min="2824" max="2824" width="28.33203125" style="76" bestFit="1" customWidth="1"/>
    <col min="2825" max="2825" width="13.5546875" style="76" bestFit="1" customWidth="1"/>
    <col min="2826" max="3072" width="9.109375" style="76"/>
    <col min="3073" max="3073" width="5" style="76" customWidth="1"/>
    <col min="3074" max="3074" width="50" style="76" bestFit="1" customWidth="1"/>
    <col min="3075" max="3075" width="27.109375" style="76" bestFit="1" customWidth="1"/>
    <col min="3076" max="3076" width="28.44140625" style="76" bestFit="1" customWidth="1"/>
    <col min="3077" max="3077" width="14.109375" style="76" bestFit="1" customWidth="1"/>
    <col min="3078" max="3078" width="14.5546875" style="76" bestFit="1" customWidth="1"/>
    <col min="3079" max="3079" width="17" style="76" bestFit="1" customWidth="1"/>
    <col min="3080" max="3080" width="28.33203125" style="76" bestFit="1" customWidth="1"/>
    <col min="3081" max="3081" width="13.5546875" style="76" bestFit="1" customWidth="1"/>
    <col min="3082" max="3328" width="9.109375" style="76"/>
    <col min="3329" max="3329" width="5" style="76" customWidth="1"/>
    <col min="3330" max="3330" width="50" style="76" bestFit="1" customWidth="1"/>
    <col min="3331" max="3331" width="27.109375" style="76" bestFit="1" customWidth="1"/>
    <col min="3332" max="3332" width="28.44140625" style="76" bestFit="1" customWidth="1"/>
    <col min="3333" max="3333" width="14.109375" style="76" bestFit="1" customWidth="1"/>
    <col min="3334" max="3334" width="14.5546875" style="76" bestFit="1" customWidth="1"/>
    <col min="3335" max="3335" width="17" style="76" bestFit="1" customWidth="1"/>
    <col min="3336" max="3336" width="28.33203125" style="76" bestFit="1" customWidth="1"/>
    <col min="3337" max="3337" width="13.5546875" style="76" bestFit="1" customWidth="1"/>
    <col min="3338" max="3584" width="9.109375" style="76"/>
    <col min="3585" max="3585" width="5" style="76" customWidth="1"/>
    <col min="3586" max="3586" width="50" style="76" bestFit="1" customWidth="1"/>
    <col min="3587" max="3587" width="27.109375" style="76" bestFit="1" customWidth="1"/>
    <col min="3588" max="3588" width="28.44140625" style="76" bestFit="1" customWidth="1"/>
    <col min="3589" max="3589" width="14.109375" style="76" bestFit="1" customWidth="1"/>
    <col min="3590" max="3590" width="14.5546875" style="76" bestFit="1" customWidth="1"/>
    <col min="3591" max="3591" width="17" style="76" bestFit="1" customWidth="1"/>
    <col min="3592" max="3592" width="28.33203125" style="76" bestFit="1" customWidth="1"/>
    <col min="3593" max="3593" width="13.5546875" style="76" bestFit="1" customWidth="1"/>
    <col min="3594" max="3840" width="9.109375" style="76"/>
    <col min="3841" max="3841" width="5" style="76" customWidth="1"/>
    <col min="3842" max="3842" width="50" style="76" bestFit="1" customWidth="1"/>
    <col min="3843" max="3843" width="27.109375" style="76" bestFit="1" customWidth="1"/>
    <col min="3844" max="3844" width="28.44140625" style="76" bestFit="1" customWidth="1"/>
    <col min="3845" max="3845" width="14.109375" style="76" bestFit="1" customWidth="1"/>
    <col min="3846" max="3846" width="14.5546875" style="76" bestFit="1" customWidth="1"/>
    <col min="3847" max="3847" width="17" style="76" bestFit="1" customWidth="1"/>
    <col min="3848" max="3848" width="28.33203125" style="76" bestFit="1" customWidth="1"/>
    <col min="3849" max="3849" width="13.5546875" style="76" bestFit="1" customWidth="1"/>
    <col min="3850" max="4096" width="9.109375" style="76"/>
    <col min="4097" max="4097" width="5" style="76" customWidth="1"/>
    <col min="4098" max="4098" width="50" style="76" bestFit="1" customWidth="1"/>
    <col min="4099" max="4099" width="27.109375" style="76" bestFit="1" customWidth="1"/>
    <col min="4100" max="4100" width="28.44140625" style="76" bestFit="1" customWidth="1"/>
    <col min="4101" max="4101" width="14.109375" style="76" bestFit="1" customWidth="1"/>
    <col min="4102" max="4102" width="14.5546875" style="76" bestFit="1" customWidth="1"/>
    <col min="4103" max="4103" width="17" style="76" bestFit="1" customWidth="1"/>
    <col min="4104" max="4104" width="28.33203125" style="76" bestFit="1" customWidth="1"/>
    <col min="4105" max="4105" width="13.5546875" style="76" bestFit="1" customWidth="1"/>
    <col min="4106" max="4352" width="9.109375" style="76"/>
    <col min="4353" max="4353" width="5" style="76" customWidth="1"/>
    <col min="4354" max="4354" width="50" style="76" bestFit="1" customWidth="1"/>
    <col min="4355" max="4355" width="27.109375" style="76" bestFit="1" customWidth="1"/>
    <col min="4356" max="4356" width="28.44140625" style="76" bestFit="1" customWidth="1"/>
    <col min="4357" max="4357" width="14.109375" style="76" bestFit="1" customWidth="1"/>
    <col min="4358" max="4358" width="14.5546875" style="76" bestFit="1" customWidth="1"/>
    <col min="4359" max="4359" width="17" style="76" bestFit="1" customWidth="1"/>
    <col min="4360" max="4360" width="28.33203125" style="76" bestFit="1" customWidth="1"/>
    <col min="4361" max="4361" width="13.5546875" style="76" bestFit="1" customWidth="1"/>
    <col min="4362" max="4608" width="9.109375" style="76"/>
    <col min="4609" max="4609" width="5" style="76" customWidth="1"/>
    <col min="4610" max="4610" width="50" style="76" bestFit="1" customWidth="1"/>
    <col min="4611" max="4611" width="27.109375" style="76" bestFit="1" customWidth="1"/>
    <col min="4612" max="4612" width="28.44140625" style="76" bestFit="1" customWidth="1"/>
    <col min="4613" max="4613" width="14.109375" style="76" bestFit="1" customWidth="1"/>
    <col min="4614" max="4614" width="14.5546875" style="76" bestFit="1" customWidth="1"/>
    <col min="4615" max="4615" width="17" style="76" bestFit="1" customWidth="1"/>
    <col min="4616" max="4616" width="28.33203125" style="76" bestFit="1" customWidth="1"/>
    <col min="4617" max="4617" width="13.5546875" style="76" bestFit="1" customWidth="1"/>
    <col min="4618" max="4864" width="9.109375" style="76"/>
    <col min="4865" max="4865" width="5" style="76" customWidth="1"/>
    <col min="4866" max="4866" width="50" style="76" bestFit="1" customWidth="1"/>
    <col min="4867" max="4867" width="27.109375" style="76" bestFit="1" customWidth="1"/>
    <col min="4868" max="4868" width="28.44140625" style="76" bestFit="1" customWidth="1"/>
    <col min="4869" max="4869" width="14.109375" style="76" bestFit="1" customWidth="1"/>
    <col min="4870" max="4870" width="14.5546875" style="76" bestFit="1" customWidth="1"/>
    <col min="4871" max="4871" width="17" style="76" bestFit="1" customWidth="1"/>
    <col min="4872" max="4872" width="28.33203125" style="76" bestFit="1" customWidth="1"/>
    <col min="4873" max="4873" width="13.5546875" style="76" bestFit="1" customWidth="1"/>
    <col min="4874" max="5120" width="9.109375" style="76"/>
    <col min="5121" max="5121" width="5" style="76" customWidth="1"/>
    <col min="5122" max="5122" width="50" style="76" bestFit="1" customWidth="1"/>
    <col min="5123" max="5123" width="27.109375" style="76" bestFit="1" customWidth="1"/>
    <col min="5124" max="5124" width="28.44140625" style="76" bestFit="1" customWidth="1"/>
    <col min="5125" max="5125" width="14.109375" style="76" bestFit="1" customWidth="1"/>
    <col min="5126" max="5126" width="14.5546875" style="76" bestFit="1" customWidth="1"/>
    <col min="5127" max="5127" width="17" style="76" bestFit="1" customWidth="1"/>
    <col min="5128" max="5128" width="28.33203125" style="76" bestFit="1" customWidth="1"/>
    <col min="5129" max="5129" width="13.5546875" style="76" bestFit="1" customWidth="1"/>
    <col min="5130" max="5376" width="9.109375" style="76"/>
    <col min="5377" max="5377" width="5" style="76" customWidth="1"/>
    <col min="5378" max="5378" width="50" style="76" bestFit="1" customWidth="1"/>
    <col min="5379" max="5379" width="27.109375" style="76" bestFit="1" customWidth="1"/>
    <col min="5380" max="5380" width="28.44140625" style="76" bestFit="1" customWidth="1"/>
    <col min="5381" max="5381" width="14.109375" style="76" bestFit="1" customWidth="1"/>
    <col min="5382" max="5382" width="14.5546875" style="76" bestFit="1" customWidth="1"/>
    <col min="5383" max="5383" width="17" style="76" bestFit="1" customWidth="1"/>
    <col min="5384" max="5384" width="28.33203125" style="76" bestFit="1" customWidth="1"/>
    <col min="5385" max="5385" width="13.5546875" style="76" bestFit="1" customWidth="1"/>
    <col min="5386" max="5632" width="9.109375" style="76"/>
    <col min="5633" max="5633" width="5" style="76" customWidth="1"/>
    <col min="5634" max="5634" width="50" style="76" bestFit="1" customWidth="1"/>
    <col min="5635" max="5635" width="27.109375" style="76" bestFit="1" customWidth="1"/>
    <col min="5636" max="5636" width="28.44140625" style="76" bestFit="1" customWidth="1"/>
    <col min="5637" max="5637" width="14.109375" style="76" bestFit="1" customWidth="1"/>
    <col min="5638" max="5638" width="14.5546875" style="76" bestFit="1" customWidth="1"/>
    <col min="5639" max="5639" width="17" style="76" bestFit="1" customWidth="1"/>
    <col min="5640" max="5640" width="28.33203125" style="76" bestFit="1" customWidth="1"/>
    <col min="5641" max="5641" width="13.5546875" style="76" bestFit="1" customWidth="1"/>
    <col min="5642" max="5888" width="9.109375" style="76"/>
    <col min="5889" max="5889" width="5" style="76" customWidth="1"/>
    <col min="5890" max="5890" width="50" style="76" bestFit="1" customWidth="1"/>
    <col min="5891" max="5891" width="27.109375" style="76" bestFit="1" customWidth="1"/>
    <col min="5892" max="5892" width="28.44140625" style="76" bestFit="1" customWidth="1"/>
    <col min="5893" max="5893" width="14.109375" style="76" bestFit="1" customWidth="1"/>
    <col min="5894" max="5894" width="14.5546875" style="76" bestFit="1" customWidth="1"/>
    <col min="5895" max="5895" width="17" style="76" bestFit="1" customWidth="1"/>
    <col min="5896" max="5896" width="28.33203125" style="76" bestFit="1" customWidth="1"/>
    <col min="5897" max="5897" width="13.5546875" style="76" bestFit="1" customWidth="1"/>
    <col min="5898" max="6144" width="9.109375" style="76"/>
    <col min="6145" max="6145" width="5" style="76" customWidth="1"/>
    <col min="6146" max="6146" width="50" style="76" bestFit="1" customWidth="1"/>
    <col min="6147" max="6147" width="27.109375" style="76" bestFit="1" customWidth="1"/>
    <col min="6148" max="6148" width="28.44140625" style="76" bestFit="1" customWidth="1"/>
    <col min="6149" max="6149" width="14.109375" style="76" bestFit="1" customWidth="1"/>
    <col min="6150" max="6150" width="14.5546875" style="76" bestFit="1" customWidth="1"/>
    <col min="6151" max="6151" width="17" style="76" bestFit="1" customWidth="1"/>
    <col min="6152" max="6152" width="28.33203125" style="76" bestFit="1" customWidth="1"/>
    <col min="6153" max="6153" width="13.5546875" style="76" bestFit="1" customWidth="1"/>
    <col min="6154" max="6400" width="9.109375" style="76"/>
    <col min="6401" max="6401" width="5" style="76" customWidth="1"/>
    <col min="6402" max="6402" width="50" style="76" bestFit="1" customWidth="1"/>
    <col min="6403" max="6403" width="27.109375" style="76" bestFit="1" customWidth="1"/>
    <col min="6404" max="6404" width="28.44140625" style="76" bestFit="1" customWidth="1"/>
    <col min="6405" max="6405" width="14.109375" style="76" bestFit="1" customWidth="1"/>
    <col min="6406" max="6406" width="14.5546875" style="76" bestFit="1" customWidth="1"/>
    <col min="6407" max="6407" width="17" style="76" bestFit="1" customWidth="1"/>
    <col min="6408" max="6408" width="28.33203125" style="76" bestFit="1" customWidth="1"/>
    <col min="6409" max="6409" width="13.5546875" style="76" bestFit="1" customWidth="1"/>
    <col min="6410" max="6656" width="9.109375" style="76"/>
    <col min="6657" max="6657" width="5" style="76" customWidth="1"/>
    <col min="6658" max="6658" width="50" style="76" bestFit="1" customWidth="1"/>
    <col min="6659" max="6659" width="27.109375" style="76" bestFit="1" customWidth="1"/>
    <col min="6660" max="6660" width="28.44140625" style="76" bestFit="1" customWidth="1"/>
    <col min="6661" max="6661" width="14.109375" style="76" bestFit="1" customWidth="1"/>
    <col min="6662" max="6662" width="14.5546875" style="76" bestFit="1" customWidth="1"/>
    <col min="6663" max="6663" width="17" style="76" bestFit="1" customWidth="1"/>
    <col min="6664" max="6664" width="28.33203125" style="76" bestFit="1" customWidth="1"/>
    <col min="6665" max="6665" width="13.5546875" style="76" bestFit="1" customWidth="1"/>
    <col min="6666" max="6912" width="9.109375" style="76"/>
    <col min="6913" max="6913" width="5" style="76" customWidth="1"/>
    <col min="6914" max="6914" width="50" style="76" bestFit="1" customWidth="1"/>
    <col min="6915" max="6915" width="27.109375" style="76" bestFit="1" customWidth="1"/>
    <col min="6916" max="6916" width="28.44140625" style="76" bestFit="1" customWidth="1"/>
    <col min="6917" max="6917" width="14.109375" style="76" bestFit="1" customWidth="1"/>
    <col min="6918" max="6918" width="14.5546875" style="76" bestFit="1" customWidth="1"/>
    <col min="6919" max="6919" width="17" style="76" bestFit="1" customWidth="1"/>
    <col min="6920" max="6920" width="28.33203125" style="76" bestFit="1" customWidth="1"/>
    <col min="6921" max="6921" width="13.5546875" style="76" bestFit="1" customWidth="1"/>
    <col min="6922" max="7168" width="9.109375" style="76"/>
    <col min="7169" max="7169" width="5" style="76" customWidth="1"/>
    <col min="7170" max="7170" width="50" style="76" bestFit="1" customWidth="1"/>
    <col min="7171" max="7171" width="27.109375" style="76" bestFit="1" customWidth="1"/>
    <col min="7172" max="7172" width="28.44140625" style="76" bestFit="1" customWidth="1"/>
    <col min="7173" max="7173" width="14.109375" style="76" bestFit="1" customWidth="1"/>
    <col min="7174" max="7174" width="14.5546875" style="76" bestFit="1" customWidth="1"/>
    <col min="7175" max="7175" width="17" style="76" bestFit="1" customWidth="1"/>
    <col min="7176" max="7176" width="28.33203125" style="76" bestFit="1" customWidth="1"/>
    <col min="7177" max="7177" width="13.5546875" style="76" bestFit="1" customWidth="1"/>
    <col min="7178" max="7424" width="9.109375" style="76"/>
    <col min="7425" max="7425" width="5" style="76" customWidth="1"/>
    <col min="7426" max="7426" width="50" style="76" bestFit="1" customWidth="1"/>
    <col min="7427" max="7427" width="27.109375" style="76" bestFit="1" customWidth="1"/>
    <col min="7428" max="7428" width="28.44140625" style="76" bestFit="1" customWidth="1"/>
    <col min="7429" max="7429" width="14.109375" style="76" bestFit="1" customWidth="1"/>
    <col min="7430" max="7430" width="14.5546875" style="76" bestFit="1" customWidth="1"/>
    <col min="7431" max="7431" width="17" style="76" bestFit="1" customWidth="1"/>
    <col min="7432" max="7432" width="28.33203125" style="76" bestFit="1" customWidth="1"/>
    <col min="7433" max="7433" width="13.5546875" style="76" bestFit="1" customWidth="1"/>
    <col min="7434" max="7680" width="9.109375" style="76"/>
    <col min="7681" max="7681" width="5" style="76" customWidth="1"/>
    <col min="7682" max="7682" width="50" style="76" bestFit="1" customWidth="1"/>
    <col min="7683" max="7683" width="27.109375" style="76" bestFit="1" customWidth="1"/>
    <col min="7684" max="7684" width="28.44140625" style="76" bestFit="1" customWidth="1"/>
    <col min="7685" max="7685" width="14.109375" style="76" bestFit="1" customWidth="1"/>
    <col min="7686" max="7686" width="14.5546875" style="76" bestFit="1" customWidth="1"/>
    <col min="7687" max="7687" width="17" style="76" bestFit="1" customWidth="1"/>
    <col min="7688" max="7688" width="28.33203125" style="76" bestFit="1" customWidth="1"/>
    <col min="7689" max="7689" width="13.5546875" style="76" bestFit="1" customWidth="1"/>
    <col min="7690" max="7936" width="9.109375" style="76"/>
    <col min="7937" max="7937" width="5" style="76" customWidth="1"/>
    <col min="7938" max="7938" width="50" style="76" bestFit="1" customWidth="1"/>
    <col min="7939" max="7939" width="27.109375" style="76" bestFit="1" customWidth="1"/>
    <col min="7940" max="7940" width="28.44140625" style="76" bestFit="1" customWidth="1"/>
    <col min="7941" max="7941" width="14.109375" style="76" bestFit="1" customWidth="1"/>
    <col min="7942" max="7942" width="14.5546875" style="76" bestFit="1" customWidth="1"/>
    <col min="7943" max="7943" width="17" style="76" bestFit="1" customWidth="1"/>
    <col min="7944" max="7944" width="28.33203125" style="76" bestFit="1" customWidth="1"/>
    <col min="7945" max="7945" width="13.5546875" style="76" bestFit="1" customWidth="1"/>
    <col min="7946" max="8192" width="9.109375" style="76"/>
    <col min="8193" max="8193" width="5" style="76" customWidth="1"/>
    <col min="8194" max="8194" width="50" style="76" bestFit="1" customWidth="1"/>
    <col min="8195" max="8195" width="27.109375" style="76" bestFit="1" customWidth="1"/>
    <col min="8196" max="8196" width="28.44140625" style="76" bestFit="1" customWidth="1"/>
    <col min="8197" max="8197" width="14.109375" style="76" bestFit="1" customWidth="1"/>
    <col min="8198" max="8198" width="14.5546875" style="76" bestFit="1" customWidth="1"/>
    <col min="8199" max="8199" width="17" style="76" bestFit="1" customWidth="1"/>
    <col min="8200" max="8200" width="28.33203125" style="76" bestFit="1" customWidth="1"/>
    <col min="8201" max="8201" width="13.5546875" style="76" bestFit="1" customWidth="1"/>
    <col min="8202" max="8448" width="9.109375" style="76"/>
    <col min="8449" max="8449" width="5" style="76" customWidth="1"/>
    <col min="8450" max="8450" width="50" style="76" bestFit="1" customWidth="1"/>
    <col min="8451" max="8451" width="27.109375" style="76" bestFit="1" customWidth="1"/>
    <col min="8452" max="8452" width="28.44140625" style="76" bestFit="1" customWidth="1"/>
    <col min="8453" max="8453" width="14.109375" style="76" bestFit="1" customWidth="1"/>
    <col min="8454" max="8454" width="14.5546875" style="76" bestFit="1" customWidth="1"/>
    <col min="8455" max="8455" width="17" style="76" bestFit="1" customWidth="1"/>
    <col min="8456" max="8456" width="28.33203125" style="76" bestFit="1" customWidth="1"/>
    <col min="8457" max="8457" width="13.5546875" style="76" bestFit="1" customWidth="1"/>
    <col min="8458" max="8704" width="9.109375" style="76"/>
    <col min="8705" max="8705" width="5" style="76" customWidth="1"/>
    <col min="8706" max="8706" width="50" style="76" bestFit="1" customWidth="1"/>
    <col min="8707" max="8707" width="27.109375" style="76" bestFit="1" customWidth="1"/>
    <col min="8708" max="8708" width="28.44140625" style="76" bestFit="1" customWidth="1"/>
    <col min="8709" max="8709" width="14.109375" style="76" bestFit="1" customWidth="1"/>
    <col min="8710" max="8710" width="14.5546875" style="76" bestFit="1" customWidth="1"/>
    <col min="8711" max="8711" width="17" style="76" bestFit="1" customWidth="1"/>
    <col min="8712" max="8712" width="28.33203125" style="76" bestFit="1" customWidth="1"/>
    <col min="8713" max="8713" width="13.5546875" style="76" bestFit="1" customWidth="1"/>
    <col min="8714" max="8960" width="9.109375" style="76"/>
    <col min="8961" max="8961" width="5" style="76" customWidth="1"/>
    <col min="8962" max="8962" width="50" style="76" bestFit="1" customWidth="1"/>
    <col min="8963" max="8963" width="27.109375" style="76" bestFit="1" customWidth="1"/>
    <col min="8964" max="8964" width="28.44140625" style="76" bestFit="1" customWidth="1"/>
    <col min="8965" max="8965" width="14.109375" style="76" bestFit="1" customWidth="1"/>
    <col min="8966" max="8966" width="14.5546875" style="76" bestFit="1" customWidth="1"/>
    <col min="8967" max="8967" width="17" style="76" bestFit="1" customWidth="1"/>
    <col min="8968" max="8968" width="28.33203125" style="76" bestFit="1" customWidth="1"/>
    <col min="8969" max="8969" width="13.5546875" style="76" bestFit="1" customWidth="1"/>
    <col min="8970" max="9216" width="9.109375" style="76"/>
    <col min="9217" max="9217" width="5" style="76" customWidth="1"/>
    <col min="9218" max="9218" width="50" style="76" bestFit="1" customWidth="1"/>
    <col min="9219" max="9219" width="27.109375" style="76" bestFit="1" customWidth="1"/>
    <col min="9220" max="9220" width="28.44140625" style="76" bestFit="1" customWidth="1"/>
    <col min="9221" max="9221" width="14.109375" style="76" bestFit="1" customWidth="1"/>
    <col min="9222" max="9222" width="14.5546875" style="76" bestFit="1" customWidth="1"/>
    <col min="9223" max="9223" width="17" style="76" bestFit="1" customWidth="1"/>
    <col min="9224" max="9224" width="28.33203125" style="76" bestFit="1" customWidth="1"/>
    <col min="9225" max="9225" width="13.5546875" style="76" bestFit="1" customWidth="1"/>
    <col min="9226" max="9472" width="9.109375" style="76"/>
    <col min="9473" max="9473" width="5" style="76" customWidth="1"/>
    <col min="9474" max="9474" width="50" style="76" bestFit="1" customWidth="1"/>
    <col min="9475" max="9475" width="27.109375" style="76" bestFit="1" customWidth="1"/>
    <col min="9476" max="9476" width="28.44140625" style="76" bestFit="1" customWidth="1"/>
    <col min="9477" max="9477" width="14.109375" style="76" bestFit="1" customWidth="1"/>
    <col min="9478" max="9478" width="14.5546875" style="76" bestFit="1" customWidth="1"/>
    <col min="9479" max="9479" width="17" style="76" bestFit="1" customWidth="1"/>
    <col min="9480" max="9480" width="28.33203125" style="76" bestFit="1" customWidth="1"/>
    <col min="9481" max="9481" width="13.5546875" style="76" bestFit="1" customWidth="1"/>
    <col min="9482" max="9728" width="9.109375" style="76"/>
    <col min="9729" max="9729" width="5" style="76" customWidth="1"/>
    <col min="9730" max="9730" width="50" style="76" bestFit="1" customWidth="1"/>
    <col min="9731" max="9731" width="27.109375" style="76" bestFit="1" customWidth="1"/>
    <col min="9732" max="9732" width="28.44140625" style="76" bestFit="1" customWidth="1"/>
    <col min="9733" max="9733" width="14.109375" style="76" bestFit="1" customWidth="1"/>
    <col min="9734" max="9734" width="14.5546875" style="76" bestFit="1" customWidth="1"/>
    <col min="9735" max="9735" width="17" style="76" bestFit="1" customWidth="1"/>
    <col min="9736" max="9736" width="28.33203125" style="76" bestFit="1" customWidth="1"/>
    <col min="9737" max="9737" width="13.5546875" style="76" bestFit="1" customWidth="1"/>
    <col min="9738" max="9984" width="9.109375" style="76"/>
    <col min="9985" max="9985" width="5" style="76" customWidth="1"/>
    <col min="9986" max="9986" width="50" style="76" bestFit="1" customWidth="1"/>
    <col min="9987" max="9987" width="27.109375" style="76" bestFit="1" customWidth="1"/>
    <col min="9988" max="9988" width="28.44140625" style="76" bestFit="1" customWidth="1"/>
    <col min="9989" max="9989" width="14.109375" style="76" bestFit="1" customWidth="1"/>
    <col min="9990" max="9990" width="14.5546875" style="76" bestFit="1" customWidth="1"/>
    <col min="9991" max="9991" width="17" style="76" bestFit="1" customWidth="1"/>
    <col min="9992" max="9992" width="28.33203125" style="76" bestFit="1" customWidth="1"/>
    <col min="9993" max="9993" width="13.5546875" style="76" bestFit="1" customWidth="1"/>
    <col min="9994" max="10240" width="9.109375" style="76"/>
    <col min="10241" max="10241" width="5" style="76" customWidth="1"/>
    <col min="10242" max="10242" width="50" style="76" bestFit="1" customWidth="1"/>
    <col min="10243" max="10243" width="27.109375" style="76" bestFit="1" customWidth="1"/>
    <col min="10244" max="10244" width="28.44140625" style="76" bestFit="1" customWidth="1"/>
    <col min="10245" max="10245" width="14.109375" style="76" bestFit="1" customWidth="1"/>
    <col min="10246" max="10246" width="14.5546875" style="76" bestFit="1" customWidth="1"/>
    <col min="10247" max="10247" width="17" style="76" bestFit="1" customWidth="1"/>
    <col min="10248" max="10248" width="28.33203125" style="76" bestFit="1" customWidth="1"/>
    <col min="10249" max="10249" width="13.5546875" style="76" bestFit="1" customWidth="1"/>
    <col min="10250" max="10496" width="9.109375" style="76"/>
    <col min="10497" max="10497" width="5" style="76" customWidth="1"/>
    <col min="10498" max="10498" width="50" style="76" bestFit="1" customWidth="1"/>
    <col min="10499" max="10499" width="27.109375" style="76" bestFit="1" customWidth="1"/>
    <col min="10500" max="10500" width="28.44140625" style="76" bestFit="1" customWidth="1"/>
    <col min="10501" max="10501" width="14.109375" style="76" bestFit="1" customWidth="1"/>
    <col min="10502" max="10502" width="14.5546875" style="76" bestFit="1" customWidth="1"/>
    <col min="10503" max="10503" width="17" style="76" bestFit="1" customWidth="1"/>
    <col min="10504" max="10504" width="28.33203125" style="76" bestFit="1" customWidth="1"/>
    <col min="10505" max="10505" width="13.5546875" style="76" bestFit="1" customWidth="1"/>
    <col min="10506" max="10752" width="9.109375" style="76"/>
    <col min="10753" max="10753" width="5" style="76" customWidth="1"/>
    <col min="10754" max="10754" width="50" style="76" bestFit="1" customWidth="1"/>
    <col min="10755" max="10755" width="27.109375" style="76" bestFit="1" customWidth="1"/>
    <col min="10756" max="10756" width="28.44140625" style="76" bestFit="1" customWidth="1"/>
    <col min="10757" max="10757" width="14.109375" style="76" bestFit="1" customWidth="1"/>
    <col min="10758" max="10758" width="14.5546875" style="76" bestFit="1" customWidth="1"/>
    <col min="10759" max="10759" width="17" style="76" bestFit="1" customWidth="1"/>
    <col min="10760" max="10760" width="28.33203125" style="76" bestFit="1" customWidth="1"/>
    <col min="10761" max="10761" width="13.5546875" style="76" bestFit="1" customWidth="1"/>
    <col min="10762" max="11008" width="9.109375" style="76"/>
    <col min="11009" max="11009" width="5" style="76" customWidth="1"/>
    <col min="11010" max="11010" width="50" style="76" bestFit="1" customWidth="1"/>
    <col min="11011" max="11011" width="27.109375" style="76" bestFit="1" customWidth="1"/>
    <col min="11012" max="11012" width="28.44140625" style="76" bestFit="1" customWidth="1"/>
    <col min="11013" max="11013" width="14.109375" style="76" bestFit="1" customWidth="1"/>
    <col min="11014" max="11014" width="14.5546875" style="76" bestFit="1" customWidth="1"/>
    <col min="11015" max="11015" width="17" style="76" bestFit="1" customWidth="1"/>
    <col min="11016" max="11016" width="28.33203125" style="76" bestFit="1" customWidth="1"/>
    <col min="11017" max="11017" width="13.5546875" style="76" bestFit="1" customWidth="1"/>
    <col min="11018" max="11264" width="9.109375" style="76"/>
    <col min="11265" max="11265" width="5" style="76" customWidth="1"/>
    <col min="11266" max="11266" width="50" style="76" bestFit="1" customWidth="1"/>
    <col min="11267" max="11267" width="27.109375" style="76" bestFit="1" customWidth="1"/>
    <col min="11268" max="11268" width="28.44140625" style="76" bestFit="1" customWidth="1"/>
    <col min="11269" max="11269" width="14.109375" style="76" bestFit="1" customWidth="1"/>
    <col min="11270" max="11270" width="14.5546875" style="76" bestFit="1" customWidth="1"/>
    <col min="11271" max="11271" width="17" style="76" bestFit="1" customWidth="1"/>
    <col min="11272" max="11272" width="28.33203125" style="76" bestFit="1" customWidth="1"/>
    <col min="11273" max="11273" width="13.5546875" style="76" bestFit="1" customWidth="1"/>
    <col min="11274" max="11520" width="9.109375" style="76"/>
    <col min="11521" max="11521" width="5" style="76" customWidth="1"/>
    <col min="11522" max="11522" width="50" style="76" bestFit="1" customWidth="1"/>
    <col min="11523" max="11523" width="27.109375" style="76" bestFit="1" customWidth="1"/>
    <col min="11524" max="11524" width="28.44140625" style="76" bestFit="1" customWidth="1"/>
    <col min="11525" max="11525" width="14.109375" style="76" bestFit="1" customWidth="1"/>
    <col min="11526" max="11526" width="14.5546875" style="76" bestFit="1" customWidth="1"/>
    <col min="11527" max="11527" width="17" style="76" bestFit="1" customWidth="1"/>
    <col min="11528" max="11528" width="28.33203125" style="76" bestFit="1" customWidth="1"/>
    <col min="11529" max="11529" width="13.5546875" style="76" bestFit="1" customWidth="1"/>
    <col min="11530" max="11776" width="9.109375" style="76"/>
    <col min="11777" max="11777" width="5" style="76" customWidth="1"/>
    <col min="11778" max="11778" width="50" style="76" bestFit="1" customWidth="1"/>
    <col min="11779" max="11779" width="27.109375" style="76" bestFit="1" customWidth="1"/>
    <col min="11780" max="11780" width="28.44140625" style="76" bestFit="1" customWidth="1"/>
    <col min="11781" max="11781" width="14.109375" style="76" bestFit="1" customWidth="1"/>
    <col min="11782" max="11782" width="14.5546875" style="76" bestFit="1" customWidth="1"/>
    <col min="11783" max="11783" width="17" style="76" bestFit="1" customWidth="1"/>
    <col min="11784" max="11784" width="28.33203125" style="76" bestFit="1" customWidth="1"/>
    <col min="11785" max="11785" width="13.5546875" style="76" bestFit="1" customWidth="1"/>
    <col min="11786" max="12032" width="9.109375" style="76"/>
    <col min="12033" max="12033" width="5" style="76" customWidth="1"/>
    <col min="12034" max="12034" width="50" style="76" bestFit="1" customWidth="1"/>
    <col min="12035" max="12035" width="27.109375" style="76" bestFit="1" customWidth="1"/>
    <col min="12036" max="12036" width="28.44140625" style="76" bestFit="1" customWidth="1"/>
    <col min="12037" max="12037" width="14.109375" style="76" bestFit="1" customWidth="1"/>
    <col min="12038" max="12038" width="14.5546875" style="76" bestFit="1" customWidth="1"/>
    <col min="12039" max="12039" width="17" style="76" bestFit="1" customWidth="1"/>
    <col min="12040" max="12040" width="28.33203125" style="76" bestFit="1" customWidth="1"/>
    <col min="12041" max="12041" width="13.5546875" style="76" bestFit="1" customWidth="1"/>
    <col min="12042" max="12288" width="9.109375" style="76"/>
    <col min="12289" max="12289" width="5" style="76" customWidth="1"/>
    <col min="12290" max="12290" width="50" style="76" bestFit="1" customWidth="1"/>
    <col min="12291" max="12291" width="27.109375" style="76" bestFit="1" customWidth="1"/>
    <col min="12292" max="12292" width="28.44140625" style="76" bestFit="1" customWidth="1"/>
    <col min="12293" max="12293" width="14.109375" style="76" bestFit="1" customWidth="1"/>
    <col min="12294" max="12294" width="14.5546875" style="76" bestFit="1" customWidth="1"/>
    <col min="12295" max="12295" width="17" style="76" bestFit="1" customWidth="1"/>
    <col min="12296" max="12296" width="28.33203125" style="76" bestFit="1" customWidth="1"/>
    <col min="12297" max="12297" width="13.5546875" style="76" bestFit="1" customWidth="1"/>
    <col min="12298" max="12544" width="9.109375" style="76"/>
    <col min="12545" max="12545" width="5" style="76" customWidth="1"/>
    <col min="12546" max="12546" width="50" style="76" bestFit="1" customWidth="1"/>
    <col min="12547" max="12547" width="27.109375" style="76" bestFit="1" customWidth="1"/>
    <col min="12548" max="12548" width="28.44140625" style="76" bestFit="1" customWidth="1"/>
    <col min="12549" max="12549" width="14.109375" style="76" bestFit="1" customWidth="1"/>
    <col min="12550" max="12550" width="14.5546875" style="76" bestFit="1" customWidth="1"/>
    <col min="12551" max="12551" width="17" style="76" bestFit="1" customWidth="1"/>
    <col min="12552" max="12552" width="28.33203125" style="76" bestFit="1" customWidth="1"/>
    <col min="12553" max="12553" width="13.5546875" style="76" bestFit="1" customWidth="1"/>
    <col min="12554" max="12800" width="9.109375" style="76"/>
    <col min="12801" max="12801" width="5" style="76" customWidth="1"/>
    <col min="12802" max="12802" width="50" style="76" bestFit="1" customWidth="1"/>
    <col min="12803" max="12803" width="27.109375" style="76" bestFit="1" customWidth="1"/>
    <col min="12804" max="12804" width="28.44140625" style="76" bestFit="1" customWidth="1"/>
    <col min="12805" max="12805" width="14.109375" style="76" bestFit="1" customWidth="1"/>
    <col min="12806" max="12806" width="14.5546875" style="76" bestFit="1" customWidth="1"/>
    <col min="12807" max="12807" width="17" style="76" bestFit="1" customWidth="1"/>
    <col min="12808" max="12808" width="28.33203125" style="76" bestFit="1" customWidth="1"/>
    <col min="12809" max="12809" width="13.5546875" style="76" bestFit="1" customWidth="1"/>
    <col min="12810" max="13056" width="9.109375" style="76"/>
    <col min="13057" max="13057" width="5" style="76" customWidth="1"/>
    <col min="13058" max="13058" width="50" style="76" bestFit="1" customWidth="1"/>
    <col min="13059" max="13059" width="27.109375" style="76" bestFit="1" customWidth="1"/>
    <col min="13060" max="13060" width="28.44140625" style="76" bestFit="1" customWidth="1"/>
    <col min="13061" max="13061" width="14.109375" style="76" bestFit="1" customWidth="1"/>
    <col min="13062" max="13062" width="14.5546875" style="76" bestFit="1" customWidth="1"/>
    <col min="13063" max="13063" width="17" style="76" bestFit="1" customWidth="1"/>
    <col min="13064" max="13064" width="28.33203125" style="76" bestFit="1" customWidth="1"/>
    <col min="13065" max="13065" width="13.5546875" style="76" bestFit="1" customWidth="1"/>
    <col min="13066" max="13312" width="9.109375" style="76"/>
    <col min="13313" max="13313" width="5" style="76" customWidth="1"/>
    <col min="13314" max="13314" width="50" style="76" bestFit="1" customWidth="1"/>
    <col min="13315" max="13315" width="27.109375" style="76" bestFit="1" customWidth="1"/>
    <col min="13316" max="13316" width="28.44140625" style="76" bestFit="1" customWidth="1"/>
    <col min="13317" max="13317" width="14.109375" style="76" bestFit="1" customWidth="1"/>
    <col min="13318" max="13318" width="14.5546875" style="76" bestFit="1" customWidth="1"/>
    <col min="13319" max="13319" width="17" style="76" bestFit="1" customWidth="1"/>
    <col min="13320" max="13320" width="28.33203125" style="76" bestFit="1" customWidth="1"/>
    <col min="13321" max="13321" width="13.5546875" style="76" bestFit="1" customWidth="1"/>
    <col min="13322" max="13568" width="9.109375" style="76"/>
    <col min="13569" max="13569" width="5" style="76" customWidth="1"/>
    <col min="13570" max="13570" width="50" style="76" bestFit="1" customWidth="1"/>
    <col min="13571" max="13571" width="27.109375" style="76" bestFit="1" customWidth="1"/>
    <col min="13572" max="13572" width="28.44140625" style="76" bestFit="1" customWidth="1"/>
    <col min="13573" max="13573" width="14.109375" style="76" bestFit="1" customWidth="1"/>
    <col min="13574" max="13574" width="14.5546875" style="76" bestFit="1" customWidth="1"/>
    <col min="13575" max="13575" width="17" style="76" bestFit="1" customWidth="1"/>
    <col min="13576" max="13576" width="28.33203125" style="76" bestFit="1" customWidth="1"/>
    <col min="13577" max="13577" width="13.5546875" style="76" bestFit="1" customWidth="1"/>
    <col min="13578" max="13824" width="9.109375" style="76"/>
    <col min="13825" max="13825" width="5" style="76" customWidth="1"/>
    <col min="13826" max="13826" width="50" style="76" bestFit="1" customWidth="1"/>
    <col min="13827" max="13827" width="27.109375" style="76" bestFit="1" customWidth="1"/>
    <col min="13828" max="13828" width="28.44140625" style="76" bestFit="1" customWidth="1"/>
    <col min="13829" max="13829" width="14.109375" style="76" bestFit="1" customWidth="1"/>
    <col min="13830" max="13830" width="14.5546875" style="76" bestFit="1" customWidth="1"/>
    <col min="13831" max="13831" width="17" style="76" bestFit="1" customWidth="1"/>
    <col min="13832" max="13832" width="28.33203125" style="76" bestFit="1" customWidth="1"/>
    <col min="13833" max="13833" width="13.5546875" style="76" bestFit="1" customWidth="1"/>
    <col min="13834" max="14080" width="9.109375" style="76"/>
    <col min="14081" max="14081" width="5" style="76" customWidth="1"/>
    <col min="14082" max="14082" width="50" style="76" bestFit="1" customWidth="1"/>
    <col min="14083" max="14083" width="27.109375" style="76" bestFit="1" customWidth="1"/>
    <col min="14084" max="14084" width="28.44140625" style="76" bestFit="1" customWidth="1"/>
    <col min="14085" max="14085" width="14.109375" style="76" bestFit="1" customWidth="1"/>
    <col min="14086" max="14086" width="14.5546875" style="76" bestFit="1" customWidth="1"/>
    <col min="14087" max="14087" width="17" style="76" bestFit="1" customWidth="1"/>
    <col min="14088" max="14088" width="28.33203125" style="76" bestFit="1" customWidth="1"/>
    <col min="14089" max="14089" width="13.5546875" style="76" bestFit="1" customWidth="1"/>
    <col min="14090" max="14336" width="9.109375" style="76"/>
    <col min="14337" max="14337" width="5" style="76" customWidth="1"/>
    <col min="14338" max="14338" width="50" style="76" bestFit="1" customWidth="1"/>
    <col min="14339" max="14339" width="27.109375" style="76" bestFit="1" customWidth="1"/>
    <col min="14340" max="14340" width="28.44140625" style="76" bestFit="1" customWidth="1"/>
    <col min="14341" max="14341" width="14.109375" style="76" bestFit="1" customWidth="1"/>
    <col min="14342" max="14342" width="14.5546875" style="76" bestFit="1" customWidth="1"/>
    <col min="14343" max="14343" width="17" style="76" bestFit="1" customWidth="1"/>
    <col min="14344" max="14344" width="28.33203125" style="76" bestFit="1" customWidth="1"/>
    <col min="14345" max="14345" width="13.5546875" style="76" bestFit="1" customWidth="1"/>
    <col min="14346" max="14592" width="9.109375" style="76"/>
    <col min="14593" max="14593" width="5" style="76" customWidth="1"/>
    <col min="14594" max="14594" width="50" style="76" bestFit="1" customWidth="1"/>
    <col min="14595" max="14595" width="27.109375" style="76" bestFit="1" customWidth="1"/>
    <col min="14596" max="14596" width="28.44140625" style="76" bestFit="1" customWidth="1"/>
    <col min="14597" max="14597" width="14.109375" style="76" bestFit="1" customWidth="1"/>
    <col min="14598" max="14598" width="14.5546875" style="76" bestFit="1" customWidth="1"/>
    <col min="14599" max="14599" width="17" style="76" bestFit="1" customWidth="1"/>
    <col min="14600" max="14600" width="28.33203125" style="76" bestFit="1" customWidth="1"/>
    <col min="14601" max="14601" width="13.5546875" style="76" bestFit="1" customWidth="1"/>
    <col min="14602" max="14848" width="9.109375" style="76"/>
    <col min="14849" max="14849" width="5" style="76" customWidth="1"/>
    <col min="14850" max="14850" width="50" style="76" bestFit="1" customWidth="1"/>
    <col min="14851" max="14851" width="27.109375" style="76" bestFit="1" customWidth="1"/>
    <col min="14852" max="14852" width="28.44140625" style="76" bestFit="1" customWidth="1"/>
    <col min="14853" max="14853" width="14.109375" style="76" bestFit="1" customWidth="1"/>
    <col min="14854" max="14854" width="14.5546875" style="76" bestFit="1" customWidth="1"/>
    <col min="14855" max="14855" width="17" style="76" bestFit="1" customWidth="1"/>
    <col min="14856" max="14856" width="28.33203125" style="76" bestFit="1" customWidth="1"/>
    <col min="14857" max="14857" width="13.5546875" style="76" bestFit="1" customWidth="1"/>
    <col min="14858" max="15104" width="9.109375" style="76"/>
    <col min="15105" max="15105" width="5" style="76" customWidth="1"/>
    <col min="15106" max="15106" width="50" style="76" bestFit="1" customWidth="1"/>
    <col min="15107" max="15107" width="27.109375" style="76" bestFit="1" customWidth="1"/>
    <col min="15108" max="15108" width="28.44140625" style="76" bestFit="1" customWidth="1"/>
    <col min="15109" max="15109" width="14.109375" style="76" bestFit="1" customWidth="1"/>
    <col min="15110" max="15110" width="14.5546875" style="76" bestFit="1" customWidth="1"/>
    <col min="15111" max="15111" width="17" style="76" bestFit="1" customWidth="1"/>
    <col min="15112" max="15112" width="28.33203125" style="76" bestFit="1" customWidth="1"/>
    <col min="15113" max="15113" width="13.5546875" style="76" bestFit="1" customWidth="1"/>
    <col min="15114" max="15360" width="9.109375" style="76"/>
    <col min="15361" max="15361" width="5" style="76" customWidth="1"/>
    <col min="15362" max="15362" width="50" style="76" bestFit="1" customWidth="1"/>
    <col min="15363" max="15363" width="27.109375" style="76" bestFit="1" customWidth="1"/>
    <col min="15364" max="15364" width="28.44140625" style="76" bestFit="1" customWidth="1"/>
    <col min="15365" max="15365" width="14.109375" style="76" bestFit="1" customWidth="1"/>
    <col min="15366" max="15366" width="14.5546875" style="76" bestFit="1" customWidth="1"/>
    <col min="15367" max="15367" width="17" style="76" bestFit="1" customWidth="1"/>
    <col min="15368" max="15368" width="28.33203125" style="76" bestFit="1" customWidth="1"/>
    <col min="15369" max="15369" width="13.5546875" style="76" bestFit="1" customWidth="1"/>
    <col min="15370" max="15616" width="9.109375" style="76"/>
    <col min="15617" max="15617" width="5" style="76" customWidth="1"/>
    <col min="15618" max="15618" width="50" style="76" bestFit="1" customWidth="1"/>
    <col min="15619" max="15619" width="27.109375" style="76" bestFit="1" customWidth="1"/>
    <col min="15620" max="15620" width="28.44140625" style="76" bestFit="1" customWidth="1"/>
    <col min="15621" max="15621" width="14.109375" style="76" bestFit="1" customWidth="1"/>
    <col min="15622" max="15622" width="14.5546875" style="76" bestFit="1" customWidth="1"/>
    <col min="15623" max="15623" width="17" style="76" bestFit="1" customWidth="1"/>
    <col min="15624" max="15624" width="28.33203125" style="76" bestFit="1" customWidth="1"/>
    <col min="15625" max="15625" width="13.5546875" style="76" bestFit="1" customWidth="1"/>
    <col min="15626" max="15872" width="9.109375" style="76"/>
    <col min="15873" max="15873" width="5" style="76" customWidth="1"/>
    <col min="15874" max="15874" width="50" style="76" bestFit="1" customWidth="1"/>
    <col min="15875" max="15875" width="27.109375" style="76" bestFit="1" customWidth="1"/>
    <col min="15876" max="15876" width="28.44140625" style="76" bestFit="1" customWidth="1"/>
    <col min="15877" max="15877" width="14.109375" style="76" bestFit="1" customWidth="1"/>
    <col min="15878" max="15878" width="14.5546875" style="76" bestFit="1" customWidth="1"/>
    <col min="15879" max="15879" width="17" style="76" bestFit="1" customWidth="1"/>
    <col min="15880" max="15880" width="28.33203125" style="76" bestFit="1" customWidth="1"/>
    <col min="15881" max="15881" width="13.5546875" style="76" bestFit="1" customWidth="1"/>
    <col min="15882" max="16128" width="9.109375" style="76"/>
    <col min="16129" max="16129" width="5" style="76" customWidth="1"/>
    <col min="16130" max="16130" width="50" style="76" bestFit="1" customWidth="1"/>
    <col min="16131" max="16131" width="27.109375" style="76" bestFit="1" customWidth="1"/>
    <col min="16132" max="16132" width="28.44140625" style="76" bestFit="1" customWidth="1"/>
    <col min="16133" max="16133" width="14.109375" style="76" bestFit="1" customWidth="1"/>
    <col min="16134" max="16134" width="14.5546875" style="76" bestFit="1" customWidth="1"/>
    <col min="16135" max="16135" width="17" style="76" bestFit="1" customWidth="1"/>
    <col min="16136" max="16136" width="28.33203125" style="76" bestFit="1" customWidth="1"/>
    <col min="16137" max="16137" width="13.5546875" style="76" bestFit="1" customWidth="1"/>
    <col min="16138" max="16384" width="9.109375" style="76"/>
  </cols>
  <sheetData>
    <row r="3" spans="1:11" x14ac:dyDescent="0.3">
      <c r="A3" s="76" t="s">
        <v>109</v>
      </c>
    </row>
    <row r="4" spans="1:11" s="77" customFormat="1" x14ac:dyDescent="0.3">
      <c r="B4" s="78"/>
      <c r="C4" s="78" t="s">
        <v>110</v>
      </c>
      <c r="D4" s="78" t="s">
        <v>111</v>
      </c>
      <c r="E4" s="78"/>
      <c r="F4" s="79" t="s">
        <v>112</v>
      </c>
      <c r="H4" s="141"/>
    </row>
    <row r="5" spans="1:11" x14ac:dyDescent="0.3">
      <c r="B5" s="80" t="s">
        <v>113</v>
      </c>
      <c r="C5" s="81">
        <v>17194364</v>
      </c>
      <c r="D5" s="81">
        <v>14955988</v>
      </c>
      <c r="E5" s="81"/>
      <c r="F5" s="82">
        <f>+C5</f>
        <v>17194364</v>
      </c>
      <c r="G5" s="83"/>
    </row>
    <row r="6" spans="1:11" x14ac:dyDescent="0.3">
      <c r="B6" s="80" t="s">
        <v>114</v>
      </c>
      <c r="C6" s="84">
        <f>+C7/C5</f>
        <v>2532.913520732724</v>
      </c>
      <c r="D6" s="81">
        <v>2912</v>
      </c>
      <c r="E6" s="81"/>
      <c r="F6" s="85">
        <v>2912</v>
      </c>
      <c r="G6" s="83"/>
    </row>
    <row r="7" spans="1:11" x14ac:dyDescent="0.3">
      <c r="B7" s="80" t="s">
        <v>115</v>
      </c>
      <c r="C7" s="81">
        <f>+D7</f>
        <v>43551837056</v>
      </c>
      <c r="D7" s="81">
        <f>+D5*D6</f>
        <v>43551837056</v>
      </c>
      <c r="E7" s="81"/>
      <c r="F7" s="82">
        <f>+F5*F6</f>
        <v>50069987968</v>
      </c>
      <c r="G7" s="83"/>
    </row>
    <row r="8" spans="1:11" x14ac:dyDescent="0.3">
      <c r="C8" s="86"/>
      <c r="D8" s="83"/>
      <c r="E8" s="83"/>
      <c r="F8" s="83"/>
      <c r="G8" s="83"/>
    </row>
    <row r="9" spans="1:11" x14ac:dyDescent="0.3">
      <c r="A9" s="87" t="s">
        <v>116</v>
      </c>
      <c r="C9" s="88"/>
      <c r="D9" s="77"/>
      <c r="E9" s="77"/>
      <c r="F9" s="88"/>
      <c r="H9" s="118" t="s">
        <v>117</v>
      </c>
    </row>
    <row r="10" spans="1:11" s="77" customFormat="1" x14ac:dyDescent="0.3">
      <c r="B10" s="78"/>
      <c r="C10" s="78" t="s">
        <v>118</v>
      </c>
      <c r="D10" s="78" t="s">
        <v>119</v>
      </c>
      <c r="E10" s="78"/>
      <c r="F10" s="79" t="s">
        <v>120</v>
      </c>
      <c r="H10" s="142"/>
      <c r="I10" s="78"/>
    </row>
    <row r="11" spans="1:11" x14ac:dyDescent="0.3">
      <c r="B11" s="80" t="s">
        <v>113</v>
      </c>
      <c r="C11" s="89">
        <v>1665938</v>
      </c>
      <c r="D11" s="89">
        <v>1665938</v>
      </c>
      <c r="E11" s="89"/>
      <c r="F11" s="82">
        <f>+D11</f>
        <v>1665938</v>
      </c>
      <c r="H11" s="92" t="s">
        <v>121</v>
      </c>
      <c r="I11" s="81">
        <v>1051650</v>
      </c>
      <c r="J11" s="90">
        <f>+I11-1020210</f>
        <v>31440</v>
      </c>
      <c r="K11" s="91">
        <f>+I11/F5</f>
        <v>6.1162483241601721E-2</v>
      </c>
    </row>
    <row r="12" spans="1:11" x14ac:dyDescent="0.3">
      <c r="B12" s="80" t="s">
        <v>114</v>
      </c>
      <c r="C12" s="81">
        <v>1858</v>
      </c>
      <c r="D12" s="92">
        <v>1575.77</v>
      </c>
      <c r="E12" s="92"/>
      <c r="F12" s="82">
        <f>+C12</f>
        <v>1858</v>
      </c>
      <c r="H12" s="92" t="s">
        <v>114</v>
      </c>
      <c r="I12" s="92">
        <f>+F6</f>
        <v>2912</v>
      </c>
    </row>
    <row r="13" spans="1:11" x14ac:dyDescent="0.3">
      <c r="B13" s="80" t="s">
        <v>115</v>
      </c>
      <c r="C13" s="81">
        <f>+C11*C12</f>
        <v>3095312804</v>
      </c>
      <c r="D13" s="81">
        <f>+D11*D12</f>
        <v>2625135122.2599998</v>
      </c>
      <c r="E13" s="81"/>
      <c r="F13" s="82">
        <f>+F11*F12</f>
        <v>3095312804</v>
      </c>
      <c r="H13" s="92" t="s">
        <v>115</v>
      </c>
      <c r="I13" s="81">
        <f>+I11*I12</f>
        <v>3062404800</v>
      </c>
    </row>
    <row r="14" spans="1:11" x14ac:dyDescent="0.3">
      <c r="I14" s="90">
        <f>+F11</f>
        <v>1665938</v>
      </c>
    </row>
    <row r="15" spans="1:11" x14ac:dyDescent="0.3">
      <c r="B15" s="76" t="s">
        <v>122</v>
      </c>
      <c r="I15" s="93">
        <f>+I13/I14</f>
        <v>1838.2465613966426</v>
      </c>
    </row>
    <row r="16" spans="1:11" x14ac:dyDescent="0.3">
      <c r="B16" s="80" t="s">
        <v>123</v>
      </c>
      <c r="C16" s="94">
        <f>+(F13-I13)/I13</f>
        <v>1.0745804734893311E-2</v>
      </c>
    </row>
    <row r="17" spans="1:10" x14ac:dyDescent="0.3">
      <c r="B17" s="80" t="s">
        <v>124</v>
      </c>
      <c r="C17" s="94">
        <f>+(F13-D13)/D13</f>
        <v>0.17910608781738463</v>
      </c>
      <c r="D17" s="95">
        <f>+(F12-D12)/D12</f>
        <v>0.17910608781738452</v>
      </c>
    </row>
    <row r="18" spans="1:10" x14ac:dyDescent="0.3">
      <c r="D18" s="95">
        <f>+(F12-C65)/C65</f>
        <v>0.24017258002164052</v>
      </c>
    </row>
    <row r="19" spans="1:10" x14ac:dyDescent="0.3">
      <c r="B19" s="76" t="s">
        <v>125</v>
      </c>
    </row>
    <row r="20" spans="1:10" x14ac:dyDescent="0.3">
      <c r="B20" s="96" t="s">
        <v>126</v>
      </c>
      <c r="C20" s="97">
        <f>+C22/C21</f>
        <v>1.5672766415500539</v>
      </c>
      <c r="D20" s="98">
        <f>+C20</f>
        <v>1.5672766415500539</v>
      </c>
      <c r="E20" s="99"/>
    </row>
    <row r="21" spans="1:10" x14ac:dyDescent="0.3">
      <c r="B21" s="100" t="s">
        <v>127</v>
      </c>
      <c r="C21" s="97">
        <f>+F12</f>
        <v>1858</v>
      </c>
      <c r="D21" s="101">
        <f>+F12</f>
        <v>1858</v>
      </c>
      <c r="E21" s="102"/>
      <c r="F21" s="93"/>
    </row>
    <row r="22" spans="1:10" x14ac:dyDescent="0.3">
      <c r="B22" s="100" t="s">
        <v>128</v>
      </c>
      <c r="C22" s="97">
        <f>+F6</f>
        <v>2912</v>
      </c>
      <c r="D22" s="101">
        <f>+C22</f>
        <v>2912</v>
      </c>
      <c r="E22" s="102"/>
      <c r="F22" s="93"/>
    </row>
    <row r="23" spans="1:10" x14ac:dyDescent="0.3">
      <c r="D23" s="103"/>
      <c r="E23" s="103"/>
      <c r="F23" s="104"/>
    </row>
    <row r="24" spans="1:10" x14ac:dyDescent="0.3">
      <c r="A24" s="76" t="s">
        <v>129</v>
      </c>
      <c r="D24" s="93"/>
      <c r="E24" s="93"/>
      <c r="F24" s="105"/>
      <c r="H24" s="143" t="s">
        <v>130</v>
      </c>
      <c r="I24" s="106"/>
    </row>
    <row r="25" spans="1:10" s="77" customFormat="1" x14ac:dyDescent="0.3">
      <c r="B25" s="78" t="s">
        <v>131</v>
      </c>
      <c r="C25" s="78" t="s">
        <v>132</v>
      </c>
      <c r="D25" s="78" t="s">
        <v>133</v>
      </c>
      <c r="E25" s="78"/>
      <c r="F25" s="78"/>
      <c r="H25" s="144" t="s">
        <v>134</v>
      </c>
      <c r="I25" s="107">
        <f>+[10]Shareholders1!Q1065</f>
        <v>26948863</v>
      </c>
    </row>
    <row r="26" spans="1:10" x14ac:dyDescent="0.3">
      <c r="B26" s="80" t="s">
        <v>135</v>
      </c>
      <c r="C26" s="108">
        <f>+C11</f>
        <v>1665938</v>
      </c>
      <c r="D26" s="80"/>
      <c r="E26" s="80"/>
      <c r="F26" s="108">
        <f>+C26+D26</f>
        <v>1665938</v>
      </c>
      <c r="H26" s="145" t="s">
        <v>136</v>
      </c>
      <c r="I26" s="107">
        <f>+F27</f>
        <v>26948325.063509151</v>
      </c>
      <c r="J26" s="93"/>
    </row>
    <row r="27" spans="1:10" x14ac:dyDescent="0.3">
      <c r="B27" s="80" t="s">
        <v>137</v>
      </c>
      <c r="C27" s="80"/>
      <c r="D27" s="109">
        <f>+C5*D20</f>
        <v>26948325.063509151</v>
      </c>
      <c r="E27" s="109"/>
      <c r="F27" s="108">
        <f>+C27+D27</f>
        <v>26948325.063509151</v>
      </c>
      <c r="H27" s="145" t="s">
        <v>138</v>
      </c>
      <c r="I27" s="110">
        <f>+[10]Shareholders1!Q1066</f>
        <v>537.93649078533053</v>
      </c>
    </row>
    <row r="28" spans="1:10" x14ac:dyDescent="0.3">
      <c r="B28" s="80" t="s">
        <v>86</v>
      </c>
      <c r="C28" s="80"/>
      <c r="D28" s="80"/>
      <c r="E28" s="80"/>
      <c r="F28" s="108">
        <f>SUM(F26:F27)</f>
        <v>28614263.063509151</v>
      </c>
      <c r="H28" s="146" t="s">
        <v>114</v>
      </c>
      <c r="I28" s="107">
        <f>+D22/D20</f>
        <v>1858</v>
      </c>
    </row>
    <row r="29" spans="1:10" x14ac:dyDescent="0.3">
      <c r="D29" s="93"/>
      <c r="E29" s="93"/>
      <c r="H29" s="146" t="s">
        <v>115</v>
      </c>
      <c r="I29" s="107">
        <f>+I27*I28</f>
        <v>999485.99987914413</v>
      </c>
    </row>
    <row r="30" spans="1:10" x14ac:dyDescent="0.3">
      <c r="A30" s="76" t="s">
        <v>139</v>
      </c>
      <c r="F30" s="111"/>
    </row>
    <row r="31" spans="1:10" s="77" customFormat="1" x14ac:dyDescent="0.3">
      <c r="B31" s="78"/>
      <c r="C31" s="78" t="s">
        <v>135</v>
      </c>
      <c r="D31" s="78" t="s">
        <v>137</v>
      </c>
      <c r="E31" s="78"/>
      <c r="F31" s="78" t="s">
        <v>86</v>
      </c>
      <c r="H31" s="141"/>
    </row>
    <row r="32" spans="1:10" x14ac:dyDescent="0.3">
      <c r="B32" s="112" t="s">
        <v>140</v>
      </c>
      <c r="C32" s="80"/>
      <c r="D32" s="80"/>
      <c r="E32" s="80"/>
      <c r="F32" s="80"/>
    </row>
    <row r="33" spans="1:8" x14ac:dyDescent="0.3">
      <c r="B33" s="80" t="s">
        <v>113</v>
      </c>
      <c r="C33" s="81">
        <f>+C26</f>
        <v>1665938</v>
      </c>
      <c r="D33" s="81">
        <f>+C5</f>
        <v>17194364</v>
      </c>
      <c r="E33" s="81"/>
      <c r="F33" s="81"/>
      <c r="G33" s="113"/>
    </row>
    <row r="34" spans="1:8" x14ac:dyDescent="0.3">
      <c r="B34" s="80" t="s">
        <v>114</v>
      </c>
      <c r="C34" s="92">
        <f>+F12</f>
        <v>1858</v>
      </c>
      <c r="D34" s="92">
        <f>+D22</f>
        <v>2912</v>
      </c>
      <c r="E34" s="92"/>
      <c r="F34" s="81"/>
    </row>
    <row r="35" spans="1:8" x14ac:dyDescent="0.3">
      <c r="B35" s="80" t="s">
        <v>140</v>
      </c>
      <c r="C35" s="81">
        <f>+C33*C34</f>
        <v>3095312804</v>
      </c>
      <c r="D35" s="81">
        <f>+D33*D34</f>
        <v>50069987968</v>
      </c>
      <c r="E35" s="81"/>
      <c r="F35" s="81">
        <f>+C35+D35</f>
        <v>53165300772</v>
      </c>
      <c r="G35" s="90"/>
    </row>
    <row r="36" spans="1:8" x14ac:dyDescent="0.3">
      <c r="B36" s="114" t="s">
        <v>141</v>
      </c>
      <c r="C36" s="94">
        <f>+C35/F35</f>
        <v>5.822054533791287E-2</v>
      </c>
      <c r="D36" s="94">
        <f>+D35/F35</f>
        <v>0.94177945466208712</v>
      </c>
      <c r="E36" s="94"/>
      <c r="F36" s="80"/>
    </row>
    <row r="37" spans="1:8" x14ac:dyDescent="0.3">
      <c r="B37" s="112" t="s">
        <v>142</v>
      </c>
      <c r="C37" s="80"/>
      <c r="D37" s="80"/>
      <c r="E37" s="80"/>
      <c r="F37" s="80"/>
    </row>
    <row r="38" spans="1:8" x14ac:dyDescent="0.3">
      <c r="B38" s="80" t="s">
        <v>113</v>
      </c>
      <c r="C38" s="81">
        <f>+D27</f>
        <v>26948325.063509151</v>
      </c>
      <c r="D38" s="80"/>
      <c r="E38" s="80"/>
      <c r="F38" s="80"/>
    </row>
    <row r="39" spans="1:8" x14ac:dyDescent="0.3">
      <c r="B39" s="80" t="s">
        <v>114</v>
      </c>
      <c r="C39" s="81">
        <f>+C34</f>
        <v>1858</v>
      </c>
      <c r="D39" s="80"/>
      <c r="E39" s="80"/>
      <c r="F39" s="80"/>
    </row>
    <row r="40" spans="1:8" x14ac:dyDescent="0.3">
      <c r="B40" s="80" t="s">
        <v>140</v>
      </c>
      <c r="C40" s="81">
        <f>+C38*C39</f>
        <v>50069987968</v>
      </c>
      <c r="D40" s="80"/>
      <c r="E40" s="80"/>
      <c r="F40" s="80"/>
    </row>
    <row r="41" spans="1:8" x14ac:dyDescent="0.3">
      <c r="B41" s="112" t="s">
        <v>143</v>
      </c>
      <c r="C41" s="81"/>
      <c r="D41" s="80"/>
      <c r="E41" s="80"/>
      <c r="F41" s="80"/>
    </row>
    <row r="42" spans="1:8" x14ac:dyDescent="0.3">
      <c r="B42" s="80" t="s">
        <v>113</v>
      </c>
      <c r="C42" s="81">
        <f>+C33+C38</f>
        <v>28614263.063509151</v>
      </c>
      <c r="D42" s="80"/>
      <c r="E42" s="80"/>
      <c r="F42" s="80"/>
    </row>
    <row r="43" spans="1:8" x14ac:dyDescent="0.3">
      <c r="B43" s="80" t="s">
        <v>114</v>
      </c>
      <c r="C43" s="81">
        <f>+C39</f>
        <v>1858</v>
      </c>
      <c r="D43" s="80"/>
      <c r="E43" s="80"/>
      <c r="F43" s="80"/>
    </row>
    <row r="44" spans="1:8" x14ac:dyDescent="0.3">
      <c r="B44" s="80" t="s">
        <v>140</v>
      </c>
      <c r="C44" s="81">
        <f>+C42*C43</f>
        <v>53165300772</v>
      </c>
      <c r="D44" s="80"/>
      <c r="E44" s="80"/>
      <c r="F44" s="80"/>
    </row>
    <row r="46" spans="1:8" x14ac:dyDescent="0.3">
      <c r="A46" s="76" t="s">
        <v>144</v>
      </c>
    </row>
    <row r="47" spans="1:8" s="77" customFormat="1" x14ac:dyDescent="0.3">
      <c r="B47" s="79" t="s">
        <v>145</v>
      </c>
      <c r="C47" s="79" t="s">
        <v>146</v>
      </c>
      <c r="D47" s="79" t="s">
        <v>147</v>
      </c>
      <c r="E47" s="79" t="s">
        <v>148</v>
      </c>
      <c r="F47" s="79" t="s">
        <v>149</v>
      </c>
      <c r="H47" s="141"/>
    </row>
    <row r="48" spans="1:8" x14ac:dyDescent="0.3">
      <c r="B48" s="115" t="s">
        <v>140</v>
      </c>
      <c r="C48" s="81">
        <f>+C50*C52</f>
        <v>3095312804</v>
      </c>
      <c r="D48" s="81">
        <f>+D50*D52</f>
        <v>50069987968</v>
      </c>
      <c r="E48" s="81"/>
      <c r="F48" s="81">
        <f>+C48+D48+E48</f>
        <v>53165300772</v>
      </c>
    </row>
    <row r="49" spans="2:8" x14ac:dyDescent="0.3">
      <c r="B49" s="114" t="s">
        <v>141</v>
      </c>
      <c r="C49" s="94">
        <f>+C48/F48</f>
        <v>5.822054533791287E-2</v>
      </c>
      <c r="D49" s="94">
        <f>+D48/F48</f>
        <v>0.94177945466208712</v>
      </c>
      <c r="E49" s="94"/>
      <c r="F49" s="81"/>
    </row>
    <row r="50" spans="2:8" x14ac:dyDescent="0.3">
      <c r="B50" s="114" t="s">
        <v>150</v>
      </c>
      <c r="C50" s="92">
        <f>+D21</f>
        <v>1858</v>
      </c>
      <c r="D50" s="92">
        <f>+D22</f>
        <v>2912</v>
      </c>
      <c r="E50" s="92"/>
      <c r="F50" s="81"/>
    </row>
    <row r="51" spans="2:8" x14ac:dyDescent="0.3">
      <c r="B51" s="116" t="s">
        <v>151</v>
      </c>
      <c r="C51" s="81"/>
      <c r="D51" s="81"/>
      <c r="E51" s="81"/>
      <c r="F51" s="81"/>
    </row>
    <row r="52" spans="2:8" x14ac:dyDescent="0.3">
      <c r="B52" s="114" t="s">
        <v>152</v>
      </c>
      <c r="C52" s="81">
        <f>+C11</f>
        <v>1665938</v>
      </c>
      <c r="D52" s="81">
        <f>+C5</f>
        <v>17194364</v>
      </c>
      <c r="E52" s="81"/>
      <c r="F52" s="81"/>
    </row>
    <row r="53" spans="2:8" x14ac:dyDescent="0.3">
      <c r="B53" s="114" t="s">
        <v>114</v>
      </c>
      <c r="C53" s="81">
        <v>1000</v>
      </c>
      <c r="D53" s="81">
        <v>100</v>
      </c>
      <c r="E53" s="81"/>
      <c r="F53" s="81"/>
    </row>
    <row r="54" spans="2:8" x14ac:dyDescent="0.3">
      <c r="B54" s="114" t="s">
        <v>153</v>
      </c>
      <c r="C54" s="81">
        <f>+C52*C53</f>
        <v>1665938000</v>
      </c>
      <c r="D54" s="81">
        <f>+D52*D53</f>
        <v>1719436400</v>
      </c>
      <c r="E54" s="81"/>
      <c r="F54" s="81"/>
      <c r="G54" s="83"/>
    </row>
    <row r="55" spans="2:8" x14ac:dyDescent="0.3">
      <c r="B55" s="115" t="s">
        <v>154</v>
      </c>
      <c r="C55" s="81"/>
      <c r="D55" s="81"/>
      <c r="E55" s="81"/>
      <c r="F55" s="81"/>
      <c r="G55" s="90">
        <f>+D60-D54</f>
        <v>25228888600</v>
      </c>
      <c r="H55" s="118">
        <f>+G55/1000</f>
        <v>25228888.600000001</v>
      </c>
    </row>
    <row r="56" spans="2:8" x14ac:dyDescent="0.3">
      <c r="B56" s="114" t="s">
        <v>155</v>
      </c>
      <c r="C56" s="81">
        <f>+C52</f>
        <v>1665938</v>
      </c>
      <c r="D56" s="81">
        <f>+INT(C38)</f>
        <v>26948325</v>
      </c>
      <c r="F56" s="81">
        <f>+C56+D56</f>
        <v>28614263</v>
      </c>
      <c r="G56" s="93"/>
    </row>
    <row r="57" spans="2:8" x14ac:dyDescent="0.3">
      <c r="B57" s="117" t="s">
        <v>156</v>
      </c>
      <c r="C57" s="81"/>
      <c r="D57" s="81"/>
      <c r="E57" s="81"/>
      <c r="F57" s="81">
        <f>149026+1648226</f>
        <v>1797252</v>
      </c>
      <c r="G57" s="93"/>
    </row>
    <row r="58" spans="2:8" x14ac:dyDescent="0.3">
      <c r="B58" s="114" t="s">
        <v>141</v>
      </c>
      <c r="C58" s="94">
        <f>+C56/F56</f>
        <v>5.8220545467132949E-2</v>
      </c>
      <c r="D58" s="94">
        <f>+D56/F56</f>
        <v>0.94177945453286704</v>
      </c>
      <c r="E58" s="94"/>
      <c r="F58" s="81"/>
      <c r="G58" s="93"/>
    </row>
    <row r="59" spans="2:8" x14ac:dyDescent="0.3">
      <c r="B59" s="114" t="s">
        <v>114</v>
      </c>
      <c r="C59" s="81">
        <v>1000</v>
      </c>
      <c r="D59" s="81">
        <v>1000</v>
      </c>
      <c r="E59" s="81"/>
      <c r="F59" s="81"/>
      <c r="H59" s="118">
        <f>+'final-ME'!E25</f>
        <v>27579706</v>
      </c>
    </row>
    <row r="60" spans="2:8" x14ac:dyDescent="0.3">
      <c r="B60" s="114" t="s">
        <v>157</v>
      </c>
      <c r="C60" s="81">
        <f>+C56*C59</f>
        <v>1665938000</v>
      </c>
      <c r="D60" s="81">
        <f>+D56*D59</f>
        <v>26948325000</v>
      </c>
      <c r="E60" s="81"/>
      <c r="F60" s="81">
        <f>+C60+D60+E60</f>
        <v>28614263000</v>
      </c>
      <c r="G60" s="93">
        <f>+F60-F61</f>
        <v>26817011000</v>
      </c>
      <c r="H60" s="118">
        <f>+G60/1000</f>
        <v>26817011</v>
      </c>
    </row>
    <row r="61" spans="2:8" x14ac:dyDescent="0.3">
      <c r="B61" s="117" t="s">
        <v>158</v>
      </c>
      <c r="C61" s="81"/>
      <c r="D61" s="81"/>
      <c r="E61" s="81"/>
      <c r="F61" s="81">
        <f>+F57*D59</f>
        <v>1797252000</v>
      </c>
      <c r="G61" s="93"/>
      <c r="H61" s="118">
        <f>+H59-H60</f>
        <v>762695</v>
      </c>
    </row>
    <row r="62" spans="2:8" x14ac:dyDescent="0.3">
      <c r="B62" s="80" t="s">
        <v>159</v>
      </c>
      <c r="C62" s="81">
        <f>2712016777.68</f>
        <v>2712016777.6799998</v>
      </c>
      <c r="D62" s="81">
        <v>49656326347.260002</v>
      </c>
      <c r="E62" s="81">
        <f>-2629125000-276890308-42756989-10940000</f>
        <v>-2959712297</v>
      </c>
      <c r="F62" s="81">
        <f>+C62+D62+E62</f>
        <v>49408630827.940002</v>
      </c>
      <c r="G62" s="93">
        <f>+(F62-C62)/C62</f>
        <v>17.218408984256623</v>
      </c>
    </row>
    <row r="63" spans="2:8" x14ac:dyDescent="0.3">
      <c r="B63" s="80" t="s">
        <v>160</v>
      </c>
      <c r="C63" s="81">
        <f>216144143.61</f>
        <v>216144143.61000001</v>
      </c>
      <c r="D63" s="81">
        <v>6544172368</v>
      </c>
      <c r="E63" s="81">
        <f>-42756989-10940000</f>
        <v>-53696989</v>
      </c>
      <c r="F63" s="81">
        <f>+C63+D63+E63</f>
        <v>6706619522.6099997</v>
      </c>
    </row>
    <row r="64" spans="2:8" x14ac:dyDescent="0.3">
      <c r="B64" s="80" t="s">
        <v>161</v>
      </c>
      <c r="C64" s="81">
        <f>2495872634.07</f>
        <v>2495872634.0700002</v>
      </c>
      <c r="D64" s="81">
        <v>43112153979.440002</v>
      </c>
      <c r="E64" s="81">
        <f>-2629125000-276890308</f>
        <v>-2906015308</v>
      </c>
      <c r="F64" s="81">
        <f>+C64+D64+E64</f>
        <v>42702011305.510002</v>
      </c>
    </row>
    <row r="65" spans="2:8" x14ac:dyDescent="0.3">
      <c r="B65" s="114" t="s">
        <v>162</v>
      </c>
      <c r="C65" s="92">
        <f>+C64/C52</f>
        <v>1498.1785841189769</v>
      </c>
      <c r="D65" s="92">
        <f>+D64/D52</f>
        <v>2507.3421720884821</v>
      </c>
      <c r="E65" s="92"/>
      <c r="F65" s="92">
        <f>+F64/(F56-F57)</f>
        <v>1592.3479057941991</v>
      </c>
    </row>
    <row r="66" spans="2:8" x14ac:dyDescent="0.3">
      <c r="D66" s="118"/>
      <c r="E66" s="118"/>
    </row>
    <row r="67" spans="2:8" x14ac:dyDescent="0.3">
      <c r="C67" s="90">
        <f>+C56-C73</f>
        <v>1516912</v>
      </c>
      <c r="D67" s="118">
        <f>INT(D56-D74)</f>
        <v>25300098</v>
      </c>
      <c r="E67" s="118"/>
      <c r="F67" s="93">
        <f>+C67+D67</f>
        <v>26817010</v>
      </c>
    </row>
    <row r="68" spans="2:8" x14ac:dyDescent="0.3">
      <c r="C68" s="91">
        <f>+C67/F67</f>
        <v>5.6565291954621337E-2</v>
      </c>
      <c r="D68" s="91">
        <f>+D67/F67</f>
        <v>0.94343470804537866</v>
      </c>
      <c r="E68" s="90">
        <f>+E67/149026</f>
        <v>0</v>
      </c>
      <c r="F68" s="93"/>
    </row>
    <row r="71" spans="2:8" x14ac:dyDescent="0.3">
      <c r="B71" s="76" t="s">
        <v>163</v>
      </c>
    </row>
    <row r="72" spans="2:8" s="77" customFormat="1" x14ac:dyDescent="0.3">
      <c r="B72" s="78"/>
      <c r="C72" s="78" t="s">
        <v>132</v>
      </c>
      <c r="D72" s="78" t="s">
        <v>164</v>
      </c>
      <c r="H72" s="141"/>
    </row>
    <row r="73" spans="2:8" x14ac:dyDescent="0.3">
      <c r="B73" s="80" t="s">
        <v>165</v>
      </c>
      <c r="C73" s="81">
        <v>149026</v>
      </c>
      <c r="D73" s="81">
        <f>+C73</f>
        <v>149026</v>
      </c>
      <c r="E73" s="95">
        <f>+D73/C56</f>
        <v>8.9454709599036702E-2</v>
      </c>
      <c r="F73" s="95">
        <f>+C73/C52</f>
        <v>8.9454709599036702E-2</v>
      </c>
    </row>
    <row r="74" spans="2:8" x14ac:dyDescent="0.3">
      <c r="B74" s="80" t="s">
        <v>135</v>
      </c>
      <c r="C74" s="81">
        <v>1051650</v>
      </c>
      <c r="D74" s="81">
        <f>+C74*D20</f>
        <v>1648226.4800861143</v>
      </c>
      <c r="F74" s="91">
        <f>+C74/D52</f>
        <v>6.1162483241601721E-2</v>
      </c>
    </row>
    <row r="75" spans="2:8" x14ac:dyDescent="0.3">
      <c r="B75" s="80"/>
      <c r="C75" s="81"/>
      <c r="D75" s="81">
        <f>SUM(D73:D74)</f>
        <v>1797252.4800861143</v>
      </c>
      <c r="F75" s="91">
        <f>+D75/F56</f>
        <v>6.2809672228360883E-2</v>
      </c>
    </row>
    <row r="80" spans="2:8" x14ac:dyDescent="0.3">
      <c r="B80" s="76" t="s">
        <v>166</v>
      </c>
    </row>
    <row r="81" spans="2:8" x14ac:dyDescent="0.3">
      <c r="B81" s="119" t="s">
        <v>167</v>
      </c>
      <c r="C81" s="120"/>
      <c r="D81" s="121">
        <f>+C26</f>
        <v>1665938</v>
      </c>
    </row>
    <row r="82" spans="2:8" x14ac:dyDescent="0.3">
      <c r="B82" s="120" t="s">
        <v>168</v>
      </c>
      <c r="C82" s="120"/>
      <c r="D82" s="122">
        <f>+D56</f>
        <v>26948325</v>
      </c>
    </row>
    <row r="83" spans="2:8" x14ac:dyDescent="0.3">
      <c r="B83" s="120" t="s">
        <v>169</v>
      </c>
      <c r="C83" s="120"/>
      <c r="D83" s="123">
        <f>+D81+D82</f>
        <v>28614263</v>
      </c>
    </row>
    <row r="84" spans="2:8" x14ac:dyDescent="0.3">
      <c r="B84" s="124" t="s">
        <v>170</v>
      </c>
      <c r="C84" s="120"/>
      <c r="D84" s="125">
        <f>+F57</f>
        <v>1797252</v>
      </c>
    </row>
    <row r="85" spans="2:8" x14ac:dyDescent="0.3">
      <c r="B85" s="126"/>
      <c r="C85" s="120"/>
      <c r="D85" s="123"/>
    </row>
    <row r="86" spans="2:8" x14ac:dyDescent="0.3">
      <c r="B86" s="127" t="s">
        <v>171</v>
      </c>
      <c r="C86" s="120"/>
      <c r="D86" s="123"/>
    </row>
    <row r="87" spans="2:8" s="77" customFormat="1" x14ac:dyDescent="0.3">
      <c r="B87" s="128" t="s">
        <v>172</v>
      </c>
      <c r="C87" s="129"/>
      <c r="D87" s="130" t="s">
        <v>113</v>
      </c>
      <c r="G87" s="131" t="s">
        <v>141</v>
      </c>
      <c r="H87" s="141"/>
    </row>
    <row r="88" spans="2:8" x14ac:dyDescent="0.3">
      <c r="B88" s="132" t="s">
        <v>173</v>
      </c>
      <c r="D88" s="133">
        <f>+D81</f>
        <v>1665938</v>
      </c>
      <c r="G88" s="134">
        <f>+D81/D83</f>
        <v>5.8220545467132949E-2</v>
      </c>
    </row>
    <row r="89" spans="2:8" x14ac:dyDescent="0.3">
      <c r="B89" s="135" t="s">
        <v>174</v>
      </c>
      <c r="D89" s="136">
        <f>+D82</f>
        <v>26948325</v>
      </c>
      <c r="G89" s="137">
        <f>+D82/D83</f>
        <v>0.94177945453286704</v>
      </c>
    </row>
    <row r="90" spans="2:8" x14ac:dyDescent="0.3">
      <c r="B90" s="138" t="s">
        <v>86</v>
      </c>
      <c r="D90" s="139">
        <f>SUM(D88:D89)</f>
        <v>28614263</v>
      </c>
      <c r="G90" s="140">
        <f>SUM(G88:G89)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L68"/>
  <sheetViews>
    <sheetView zoomScaleNormal="100" workbookViewId="0">
      <selection activeCell="D1" sqref="D1:I1"/>
    </sheetView>
  </sheetViews>
  <sheetFormatPr defaultColWidth="9.109375" defaultRowHeight="12" x14ac:dyDescent="0.25"/>
  <cols>
    <col min="1" max="2" width="9.109375" style="177"/>
    <col min="3" max="3" width="3.109375" style="177" customWidth="1"/>
    <col min="4" max="4" width="7.33203125" style="177" bestFit="1" customWidth="1"/>
    <col min="5" max="5" width="52.109375" style="177" bestFit="1" customWidth="1"/>
    <col min="6" max="6" width="14.88671875" style="193" hidden="1" customWidth="1"/>
    <col min="7" max="7" width="14.33203125" style="193" hidden="1" customWidth="1"/>
    <col min="8" max="8" width="15.5546875" style="193" hidden="1" customWidth="1"/>
    <col min="9" max="9" width="19.5546875" style="193" bestFit="1" customWidth="1"/>
    <col min="10" max="10" width="15" style="177" bestFit="1" customWidth="1"/>
    <col min="11" max="11" width="16.44140625" style="193" bestFit="1" customWidth="1"/>
    <col min="12" max="12" width="16.44140625" style="177" bestFit="1" customWidth="1"/>
    <col min="13" max="16384" width="9.109375" style="177"/>
  </cols>
  <sheetData>
    <row r="1" spans="4:11" x14ac:dyDescent="0.25">
      <c r="D1" s="326" t="s">
        <v>428</v>
      </c>
      <c r="E1" s="326"/>
      <c r="F1" s="326"/>
      <c r="G1" s="326"/>
      <c r="H1" s="326"/>
      <c r="I1" s="326"/>
    </row>
    <row r="2" spans="4:11" x14ac:dyDescent="0.25">
      <c r="D2" s="178"/>
      <c r="E2" s="179"/>
      <c r="F2" s="314"/>
      <c r="G2" s="314"/>
      <c r="H2" s="314"/>
      <c r="I2" s="314" t="s">
        <v>176</v>
      </c>
    </row>
    <row r="3" spans="4:11" s="183" customFormat="1" ht="22.8" x14ac:dyDescent="0.3">
      <c r="D3" s="181" t="s">
        <v>177</v>
      </c>
      <c r="E3" s="182" t="s">
        <v>145</v>
      </c>
      <c r="F3" s="325" t="s">
        <v>438</v>
      </c>
      <c r="G3" s="325"/>
      <c r="H3" s="325" t="s">
        <v>148</v>
      </c>
      <c r="I3" s="338" t="s">
        <v>438</v>
      </c>
      <c r="K3" s="313"/>
    </row>
    <row r="4" spans="4:11" x14ac:dyDescent="0.25">
      <c r="D4" s="181">
        <v>1</v>
      </c>
      <c r="E4" s="184" t="s">
        <v>178</v>
      </c>
      <c r="F4" s="315" t="s">
        <v>379</v>
      </c>
      <c r="G4" s="315" t="s">
        <v>380</v>
      </c>
      <c r="H4" s="325"/>
      <c r="I4" s="339" t="s">
        <v>381</v>
      </c>
    </row>
    <row r="5" spans="4:11" x14ac:dyDescent="0.25">
      <c r="D5" s="181">
        <v>1.1000000000000001</v>
      </c>
      <c r="E5" s="181" t="s">
        <v>179</v>
      </c>
      <c r="F5" s="186"/>
      <c r="G5" s="186"/>
      <c r="H5" s="186"/>
      <c r="I5" s="340">
        <f>+F5+G5+H5</f>
        <v>0</v>
      </c>
    </row>
    <row r="6" spans="4:11" x14ac:dyDescent="0.25">
      <c r="D6" s="181" t="s">
        <v>180</v>
      </c>
      <c r="E6" s="187" t="s">
        <v>181</v>
      </c>
      <c r="F6" s="188">
        <v>702057381.00999999</v>
      </c>
      <c r="G6" s="189">
        <v>128884.14</v>
      </c>
      <c r="H6" s="157"/>
      <c r="I6" s="340">
        <f t="shared" ref="I6" si="0">+F6+G6+H6</f>
        <v>702186265.14999998</v>
      </c>
    </row>
    <row r="7" spans="4:11" x14ac:dyDescent="0.25">
      <c r="D7" s="181" t="s">
        <v>182</v>
      </c>
      <c r="E7" s="187" t="s">
        <v>183</v>
      </c>
      <c r="F7" s="188">
        <v>0</v>
      </c>
      <c r="G7" s="189">
        <v>647970500</v>
      </c>
      <c r="H7" s="157">
        <f>-'[11]Авлага &amp; БМ &amp; УТТ'!$H$10</f>
        <v>-6717501.5599999996</v>
      </c>
      <c r="I7" s="340">
        <f>+F7+G7+H7</f>
        <v>641252998.44000006</v>
      </c>
    </row>
    <row r="8" spans="4:11" x14ac:dyDescent="0.25">
      <c r="D8" s="181" t="s">
        <v>184</v>
      </c>
      <c r="E8" s="187" t="s">
        <v>185</v>
      </c>
      <c r="F8" s="188">
        <v>0</v>
      </c>
      <c r="G8" s="189">
        <v>3939732.23</v>
      </c>
      <c r="H8" s="157"/>
      <c r="I8" s="340">
        <f t="shared" ref="I8:I14" si="1">+F8+G8+H8</f>
        <v>3939732.23</v>
      </c>
    </row>
    <row r="9" spans="4:11" x14ac:dyDescent="0.25">
      <c r="D9" s="181" t="s">
        <v>186</v>
      </c>
      <c r="E9" s="187" t="s">
        <v>187</v>
      </c>
      <c r="F9" s="188">
        <v>812692519.36000001</v>
      </c>
      <c r="G9" s="189"/>
      <c r="H9" s="189">
        <v>2944830532</v>
      </c>
      <c r="I9" s="340">
        <f t="shared" si="1"/>
        <v>3757523051.3600001</v>
      </c>
    </row>
    <row r="10" spans="4:11" x14ac:dyDescent="0.25">
      <c r="D10" s="181" t="s">
        <v>188</v>
      </c>
      <c r="E10" s="187" t="s">
        <v>189</v>
      </c>
      <c r="F10" s="188">
        <v>5736149866.3399992</v>
      </c>
      <c r="G10" s="189">
        <v>30000000</v>
      </c>
      <c r="H10" s="157"/>
      <c r="I10" s="340">
        <f t="shared" si="1"/>
        <v>5766149866.3399992</v>
      </c>
    </row>
    <row r="11" spans="4:11" x14ac:dyDescent="0.25">
      <c r="D11" s="181" t="s">
        <v>190</v>
      </c>
      <c r="E11" s="187" t="s">
        <v>191</v>
      </c>
      <c r="F11" s="188">
        <v>46860935.340000004</v>
      </c>
      <c r="G11" s="189"/>
      <c r="H11" s="157"/>
      <c r="I11" s="340">
        <f t="shared" si="1"/>
        <v>46860935.340000004</v>
      </c>
    </row>
    <row r="12" spans="4:11" x14ac:dyDescent="0.25">
      <c r="D12" s="181" t="s">
        <v>192</v>
      </c>
      <c r="E12" s="187" t="s">
        <v>193</v>
      </c>
      <c r="F12" s="188">
        <v>5833409198.6199999</v>
      </c>
      <c r="G12" s="189">
        <v>203000</v>
      </c>
      <c r="H12" s="157"/>
      <c r="I12" s="340">
        <f t="shared" si="1"/>
        <v>5833612198.6199999</v>
      </c>
    </row>
    <row r="13" spans="4:11" x14ac:dyDescent="0.25">
      <c r="D13" s="181" t="s">
        <v>194</v>
      </c>
      <c r="E13" s="187" t="s">
        <v>195</v>
      </c>
      <c r="F13" s="188"/>
      <c r="G13" s="189"/>
      <c r="H13" s="157"/>
      <c r="I13" s="340">
        <f t="shared" si="1"/>
        <v>0</v>
      </c>
    </row>
    <row r="14" spans="4:11" x14ac:dyDescent="0.25">
      <c r="D14" s="181" t="s">
        <v>196</v>
      </c>
      <c r="E14" s="187" t="s">
        <v>197</v>
      </c>
      <c r="F14" s="188">
        <v>5001656296.4899998</v>
      </c>
      <c r="G14" s="189"/>
      <c r="H14" s="157"/>
      <c r="I14" s="340">
        <f t="shared" si="1"/>
        <v>5001656296.4899998</v>
      </c>
    </row>
    <row r="15" spans="4:11" hidden="1" x14ac:dyDescent="0.25">
      <c r="D15" s="181" t="s">
        <v>198</v>
      </c>
      <c r="E15" s="190"/>
      <c r="F15" s="188"/>
      <c r="G15" s="188"/>
      <c r="H15" s="188"/>
      <c r="I15" s="341"/>
    </row>
    <row r="16" spans="4:11" x14ac:dyDescent="0.25">
      <c r="D16" s="181" t="s">
        <v>199</v>
      </c>
      <c r="E16" s="182" t="s">
        <v>200</v>
      </c>
      <c r="F16" s="191">
        <f t="shared" ref="F16" si="2">SUM(F6:F14)</f>
        <v>18132826197.159996</v>
      </c>
      <c r="G16" s="191">
        <f t="shared" ref="G16:I16" si="3">SUM(G6:G14)</f>
        <v>682242116.37</v>
      </c>
      <c r="H16" s="191">
        <f t="shared" si="3"/>
        <v>2938113030.4400001</v>
      </c>
      <c r="I16" s="342">
        <f t="shared" si="3"/>
        <v>21753181343.970001</v>
      </c>
    </row>
    <row r="17" spans="4:10" x14ac:dyDescent="0.25">
      <c r="D17" s="181">
        <v>1.2</v>
      </c>
      <c r="E17" s="181" t="s">
        <v>201</v>
      </c>
      <c r="F17" s="186">
        <v>0</v>
      </c>
      <c r="G17" s="186">
        <v>0</v>
      </c>
      <c r="H17" s="186"/>
      <c r="I17" s="340">
        <f t="shared" ref="I17:I26" si="4">+F17+G17+H17</f>
        <v>0</v>
      </c>
    </row>
    <row r="18" spans="4:10" x14ac:dyDescent="0.25">
      <c r="D18" s="181" t="s">
        <v>202</v>
      </c>
      <c r="E18" s="187" t="s">
        <v>40</v>
      </c>
      <c r="F18" s="188">
        <v>896513384.99000001</v>
      </c>
      <c r="G18" s="192">
        <v>200793</v>
      </c>
      <c r="H18" s="188"/>
      <c r="I18" s="340">
        <f t="shared" si="4"/>
        <v>896714177.99000001</v>
      </c>
    </row>
    <row r="19" spans="4:10" x14ac:dyDescent="0.25">
      <c r="D19" s="181" t="s">
        <v>203</v>
      </c>
      <c r="E19" s="187" t="s">
        <v>42</v>
      </c>
      <c r="F19" s="188">
        <v>11741500.000000002</v>
      </c>
      <c r="G19" s="192">
        <v>1185444.77</v>
      </c>
      <c r="H19" s="188"/>
      <c r="I19" s="340">
        <f t="shared" si="4"/>
        <v>12926944.770000001</v>
      </c>
    </row>
    <row r="20" spans="4:10" x14ac:dyDescent="0.25">
      <c r="D20" s="181" t="s">
        <v>204</v>
      </c>
      <c r="E20" s="187" t="s">
        <v>205</v>
      </c>
      <c r="F20" s="188">
        <v>0</v>
      </c>
      <c r="G20" s="189"/>
      <c r="H20" s="188"/>
      <c r="I20" s="340">
        <f t="shared" si="4"/>
        <v>0</v>
      </c>
    </row>
    <row r="21" spans="4:10" x14ac:dyDescent="0.25">
      <c r="D21" s="181" t="s">
        <v>206</v>
      </c>
      <c r="E21" s="187" t="s">
        <v>207</v>
      </c>
      <c r="F21" s="188">
        <v>53836872142.110001</v>
      </c>
      <c r="G21" s="189">
        <v>2944830532</v>
      </c>
      <c r="H21" s="188">
        <f>-2944830532</f>
        <v>-2944830532</v>
      </c>
      <c r="I21" s="340">
        <f>+F21+G21+H21</f>
        <v>53836872142.110001</v>
      </c>
      <c r="J21" s="193"/>
    </row>
    <row r="22" spans="4:10" hidden="1" x14ac:dyDescent="0.25">
      <c r="D22" s="181" t="s">
        <v>208</v>
      </c>
      <c r="E22" s="187" t="s">
        <v>209</v>
      </c>
      <c r="F22" s="188">
        <v>0</v>
      </c>
      <c r="G22" s="188"/>
      <c r="H22" s="188"/>
      <c r="I22" s="340">
        <f t="shared" si="4"/>
        <v>0</v>
      </c>
    </row>
    <row r="23" spans="4:10" hidden="1" x14ac:dyDescent="0.25">
      <c r="D23" s="181" t="s">
        <v>210</v>
      </c>
      <c r="E23" s="187" t="s">
        <v>211</v>
      </c>
      <c r="F23" s="188"/>
      <c r="G23" s="188"/>
      <c r="H23" s="188"/>
      <c r="I23" s="340">
        <f t="shared" si="4"/>
        <v>0</v>
      </c>
    </row>
    <row r="24" spans="4:10" hidden="1" x14ac:dyDescent="0.25">
      <c r="D24" s="181" t="s">
        <v>212</v>
      </c>
      <c r="E24" s="187" t="s">
        <v>213</v>
      </c>
      <c r="F24" s="316"/>
      <c r="G24" s="316"/>
      <c r="H24" s="316"/>
      <c r="I24" s="340">
        <f t="shared" si="4"/>
        <v>0</v>
      </c>
    </row>
    <row r="25" spans="4:10" hidden="1" x14ac:dyDescent="0.25">
      <c r="D25" s="181" t="s">
        <v>214</v>
      </c>
      <c r="E25" s="187" t="s">
        <v>215</v>
      </c>
      <c r="F25" s="188"/>
      <c r="G25" s="188"/>
      <c r="H25" s="188"/>
      <c r="I25" s="340">
        <f t="shared" si="4"/>
        <v>0</v>
      </c>
    </row>
    <row r="26" spans="4:10" hidden="1" x14ac:dyDescent="0.25">
      <c r="D26" s="181" t="s">
        <v>216</v>
      </c>
      <c r="E26" s="190" t="s">
        <v>425</v>
      </c>
      <c r="F26" s="188">
        <v>0</v>
      </c>
      <c r="G26" s="188"/>
      <c r="H26" s="188"/>
      <c r="I26" s="340">
        <f t="shared" si="4"/>
        <v>0</v>
      </c>
    </row>
    <row r="27" spans="4:10" x14ac:dyDescent="0.25">
      <c r="D27" s="194" t="s">
        <v>217</v>
      </c>
      <c r="E27" s="195" t="s">
        <v>218</v>
      </c>
      <c r="F27" s="191">
        <f>SUM(F18:F26)</f>
        <v>54745127027.099998</v>
      </c>
      <c r="G27" s="191">
        <f t="shared" ref="G27" si="5">SUM(G18:G26)</f>
        <v>2946216769.77</v>
      </c>
      <c r="H27" s="191">
        <f t="shared" ref="H27" si="6">SUM(H18:H26)</f>
        <v>-2944830532</v>
      </c>
      <c r="I27" s="342">
        <f t="shared" ref="I27" si="7">SUM(I18:I26)</f>
        <v>54746513264.870003</v>
      </c>
    </row>
    <row r="28" spans="4:10" x14ac:dyDescent="0.25">
      <c r="D28" s="194">
        <v>1.3</v>
      </c>
      <c r="E28" s="195" t="s">
        <v>45</v>
      </c>
      <c r="F28" s="196">
        <f t="shared" ref="F28:G28" si="8">+F27+F16</f>
        <v>72877953224.259995</v>
      </c>
      <c r="G28" s="196">
        <f t="shared" si="8"/>
        <v>3628458886.1399999</v>
      </c>
      <c r="H28" s="196">
        <f t="shared" ref="H28" si="9">+H27+H16</f>
        <v>-6717501.5599999428</v>
      </c>
      <c r="I28" s="343">
        <f t="shared" ref="I28" si="10">+I27+I16</f>
        <v>76499694608.839996</v>
      </c>
    </row>
    <row r="29" spans="4:10" x14ac:dyDescent="0.25">
      <c r="D29" s="181">
        <v>2</v>
      </c>
      <c r="E29" s="197" t="s">
        <v>219</v>
      </c>
      <c r="F29" s="198">
        <v>0</v>
      </c>
      <c r="G29" s="198">
        <v>0</v>
      </c>
      <c r="H29" s="198"/>
      <c r="I29" s="344"/>
    </row>
    <row r="30" spans="4:10" x14ac:dyDescent="0.25">
      <c r="D30" s="181">
        <v>2.1</v>
      </c>
      <c r="E30" s="181" t="s">
        <v>220</v>
      </c>
      <c r="F30" s="186">
        <v>0</v>
      </c>
      <c r="G30" s="186">
        <v>0</v>
      </c>
      <c r="H30" s="186"/>
      <c r="I30" s="340">
        <f t="shared" ref="I30:I43" si="11">+F30+G30+H30</f>
        <v>0</v>
      </c>
    </row>
    <row r="31" spans="4:10" x14ac:dyDescent="0.25">
      <c r="D31" s="181" t="s">
        <v>221</v>
      </c>
      <c r="E31" s="181" t="s">
        <v>222</v>
      </c>
      <c r="F31" s="186">
        <v>0</v>
      </c>
      <c r="G31" s="186">
        <v>0</v>
      </c>
      <c r="H31" s="186"/>
      <c r="I31" s="340">
        <f t="shared" si="11"/>
        <v>0</v>
      </c>
    </row>
    <row r="32" spans="4:10" x14ac:dyDescent="0.25">
      <c r="D32" s="181" t="s">
        <v>223</v>
      </c>
      <c r="E32" s="187" t="s">
        <v>46</v>
      </c>
      <c r="F32" s="188">
        <v>477050084.86000001</v>
      </c>
      <c r="G32" s="199">
        <v>9376759.3900000006</v>
      </c>
      <c r="H32" s="157">
        <f>H7</f>
        <v>-6717501.5599999996</v>
      </c>
      <c r="I32" s="340">
        <f t="shared" si="11"/>
        <v>479709342.69</v>
      </c>
    </row>
    <row r="33" spans="4:9" x14ac:dyDescent="0.25">
      <c r="D33" s="181" t="s">
        <v>224</v>
      </c>
      <c r="E33" s="187" t="s">
        <v>225</v>
      </c>
      <c r="F33" s="188">
        <v>0.01</v>
      </c>
      <c r="G33" s="199">
        <v>620611.49</v>
      </c>
      <c r="H33" s="157"/>
      <c r="I33" s="340">
        <f t="shared" si="11"/>
        <v>620611.5</v>
      </c>
    </row>
    <row r="34" spans="4:9" x14ac:dyDescent="0.25">
      <c r="D34" s="181" t="s">
        <v>226</v>
      </c>
      <c r="E34" s="187" t="s">
        <v>48</v>
      </c>
      <c r="F34" s="188">
        <v>57568890.081000008</v>
      </c>
      <c r="G34" s="199">
        <v>20283377.895</v>
      </c>
      <c r="H34" s="157"/>
      <c r="I34" s="340">
        <f t="shared" si="11"/>
        <v>77852267.976000011</v>
      </c>
    </row>
    <row r="35" spans="4:9" x14ac:dyDescent="0.25">
      <c r="D35" s="181" t="s">
        <v>227</v>
      </c>
      <c r="E35" s="187" t="s">
        <v>228</v>
      </c>
      <c r="F35" s="188">
        <v>0</v>
      </c>
      <c r="G35" s="199"/>
      <c r="H35" s="157"/>
      <c r="I35" s="340">
        <f t="shared" si="11"/>
        <v>0</v>
      </c>
    </row>
    <row r="36" spans="4:9" x14ac:dyDescent="0.25">
      <c r="D36" s="181" t="s">
        <v>229</v>
      </c>
      <c r="E36" s="187" t="s">
        <v>230</v>
      </c>
      <c r="F36" s="200">
        <v>2316513621.2799997</v>
      </c>
      <c r="G36" s="199"/>
      <c r="H36" s="157"/>
      <c r="I36" s="340">
        <f t="shared" si="11"/>
        <v>2316513621.2799997</v>
      </c>
    </row>
    <row r="37" spans="4:9" x14ac:dyDescent="0.25">
      <c r="D37" s="181" t="s">
        <v>231</v>
      </c>
      <c r="E37" s="187" t="s">
        <v>232</v>
      </c>
      <c r="F37" s="188">
        <v>262657584.44999999</v>
      </c>
      <c r="G37" s="189"/>
      <c r="H37" s="157"/>
      <c r="I37" s="340">
        <f t="shared" si="11"/>
        <v>262657584.44999999</v>
      </c>
    </row>
    <row r="38" spans="4:9" hidden="1" x14ac:dyDescent="0.25">
      <c r="D38" s="181" t="s">
        <v>233</v>
      </c>
      <c r="E38" s="187" t="s">
        <v>234</v>
      </c>
      <c r="F38" s="188"/>
      <c r="G38" s="189"/>
      <c r="H38" s="157"/>
      <c r="I38" s="340">
        <f t="shared" si="11"/>
        <v>0</v>
      </c>
    </row>
    <row r="39" spans="4:9" hidden="1" x14ac:dyDescent="0.25">
      <c r="D39" s="181" t="s">
        <v>235</v>
      </c>
      <c r="E39" s="187" t="s">
        <v>236</v>
      </c>
      <c r="F39" s="200">
        <v>0</v>
      </c>
      <c r="G39" s="199"/>
      <c r="H39" s="157"/>
      <c r="I39" s="340">
        <f t="shared" si="11"/>
        <v>0</v>
      </c>
    </row>
    <row r="40" spans="4:9" hidden="1" x14ac:dyDescent="0.25">
      <c r="D40" s="181" t="s">
        <v>237</v>
      </c>
      <c r="E40" s="187" t="s">
        <v>238</v>
      </c>
      <c r="F40" s="188">
        <v>0</v>
      </c>
      <c r="G40" s="199"/>
      <c r="H40" s="157"/>
      <c r="I40" s="340">
        <f t="shared" si="11"/>
        <v>0</v>
      </c>
    </row>
    <row r="41" spans="4:9" x14ac:dyDescent="0.25">
      <c r="D41" s="181" t="s">
        <v>239</v>
      </c>
      <c r="E41" s="187" t="s">
        <v>50</v>
      </c>
      <c r="F41" s="188">
        <v>112794141.98999999</v>
      </c>
      <c r="G41" s="189"/>
      <c r="H41" s="157"/>
      <c r="I41" s="340">
        <f t="shared" si="11"/>
        <v>112794141.98999999</v>
      </c>
    </row>
    <row r="42" spans="4:9" hidden="1" x14ac:dyDescent="0.25">
      <c r="D42" s="181" t="s">
        <v>240</v>
      </c>
      <c r="E42" s="187" t="s">
        <v>241</v>
      </c>
      <c r="F42" s="188">
        <v>0</v>
      </c>
      <c r="G42" s="188"/>
      <c r="H42" s="157"/>
      <c r="I42" s="340">
        <f t="shared" si="11"/>
        <v>0</v>
      </c>
    </row>
    <row r="43" spans="4:9" hidden="1" x14ac:dyDescent="0.25">
      <c r="D43" s="181"/>
      <c r="E43" s="190"/>
      <c r="F43" s="188">
        <v>0</v>
      </c>
      <c r="G43" s="188"/>
      <c r="H43" s="188"/>
      <c r="I43" s="340">
        <f t="shared" si="11"/>
        <v>0</v>
      </c>
    </row>
    <row r="44" spans="4:9" x14ac:dyDescent="0.25">
      <c r="D44" s="194"/>
      <c r="E44" s="195" t="s">
        <v>242</v>
      </c>
      <c r="F44" s="191">
        <f t="shared" ref="F44:G44" si="12">SUM(F32:F43)</f>
        <v>3226584322.6709995</v>
      </c>
      <c r="G44" s="191">
        <f t="shared" si="12"/>
        <v>30280748.774999999</v>
      </c>
      <c r="H44" s="191">
        <f t="shared" ref="H44" si="13">SUM(H32:H43)</f>
        <v>-6717501.5599999996</v>
      </c>
      <c r="I44" s="342">
        <f t="shared" ref="I44" si="14">SUM(I32:I43)</f>
        <v>3250147569.8859992</v>
      </c>
    </row>
    <row r="45" spans="4:9" x14ac:dyDescent="0.25">
      <c r="D45" s="181" t="s">
        <v>243</v>
      </c>
      <c r="E45" s="182" t="s">
        <v>51</v>
      </c>
      <c r="F45" s="201">
        <v>0</v>
      </c>
      <c r="G45" s="201">
        <v>0</v>
      </c>
      <c r="H45" s="201"/>
      <c r="I45" s="345"/>
    </row>
    <row r="46" spans="4:9" hidden="1" x14ac:dyDescent="0.25">
      <c r="D46" s="181" t="s">
        <v>244</v>
      </c>
      <c r="E46" s="187" t="s">
        <v>245</v>
      </c>
      <c r="F46" s="316"/>
      <c r="G46" s="316"/>
      <c r="H46" s="188"/>
      <c r="I46" s="340">
        <f t="shared" ref="I46:I49" si="15">+F46+G46+H46</f>
        <v>0</v>
      </c>
    </row>
    <row r="47" spans="4:9" hidden="1" x14ac:dyDescent="0.25">
      <c r="D47" s="181" t="s">
        <v>246</v>
      </c>
      <c r="E47" s="187" t="s">
        <v>247</v>
      </c>
      <c r="F47" s="188"/>
      <c r="G47" s="188"/>
      <c r="H47" s="188"/>
      <c r="I47" s="340">
        <f t="shared" si="15"/>
        <v>0</v>
      </c>
    </row>
    <row r="48" spans="4:9" x14ac:dyDescent="0.25">
      <c r="D48" s="181" t="s">
        <v>248</v>
      </c>
      <c r="E48" s="187" t="s">
        <v>249</v>
      </c>
      <c r="F48" s="200">
        <f>3035443319.53+0.38</f>
        <v>3035443319.9100003</v>
      </c>
      <c r="G48" s="200">
        <v>175893843.41</v>
      </c>
      <c r="H48" s="188"/>
      <c r="I48" s="340">
        <f>+F48+G48+H48</f>
        <v>3211337163.3200002</v>
      </c>
    </row>
    <row r="49" spans="4:12" x14ac:dyDescent="0.25">
      <c r="D49" s="181" t="s">
        <v>250</v>
      </c>
      <c r="E49" s="187" t="s">
        <v>251</v>
      </c>
      <c r="F49" s="188">
        <v>8195527553.46</v>
      </c>
      <c r="G49" s="188"/>
      <c r="H49" s="188"/>
      <c r="I49" s="340">
        <f t="shared" si="15"/>
        <v>8195527553.46</v>
      </c>
    </row>
    <row r="50" spans="4:12" hidden="1" x14ac:dyDescent="0.25">
      <c r="D50" s="181" t="s">
        <v>252</v>
      </c>
      <c r="E50" s="190"/>
      <c r="F50" s="188">
        <v>0</v>
      </c>
      <c r="G50" s="188">
        <v>0</v>
      </c>
      <c r="H50" s="188"/>
      <c r="I50" s="341"/>
    </row>
    <row r="51" spans="4:12" x14ac:dyDescent="0.25">
      <c r="D51" s="194" t="s">
        <v>253</v>
      </c>
      <c r="E51" s="195" t="s">
        <v>254</v>
      </c>
      <c r="F51" s="191">
        <f t="shared" ref="F51:G51" si="16">SUM(F48:F50)</f>
        <v>11230970873.370001</v>
      </c>
      <c r="G51" s="191">
        <f t="shared" si="16"/>
        <v>175893843.41</v>
      </c>
      <c r="H51" s="191">
        <f t="shared" ref="H51" si="17">SUM(H48:H50)</f>
        <v>0</v>
      </c>
      <c r="I51" s="342">
        <f t="shared" ref="I51" si="18">SUM(I48:I50)</f>
        <v>11406864716.780001</v>
      </c>
    </row>
    <row r="52" spans="4:12" x14ac:dyDescent="0.25">
      <c r="D52" s="202">
        <v>2.2000000000000002</v>
      </c>
      <c r="E52" s="195" t="s">
        <v>53</v>
      </c>
      <c r="F52" s="191">
        <f>+F51+F44</f>
        <v>14457555196.041</v>
      </c>
      <c r="G52" s="191">
        <f t="shared" ref="G52" si="19">+G51+G44</f>
        <v>206174592.185</v>
      </c>
      <c r="H52" s="191">
        <f t="shared" ref="H52" si="20">+H51+H44</f>
        <v>-6717501.5599999996</v>
      </c>
      <c r="I52" s="342">
        <f t="shared" ref="I52" si="21">+I51+I44</f>
        <v>14657012286.666</v>
      </c>
    </row>
    <row r="53" spans="4:12" x14ac:dyDescent="0.25">
      <c r="D53" s="181"/>
      <c r="E53" s="181" t="s">
        <v>255</v>
      </c>
      <c r="F53" s="186">
        <v>0</v>
      </c>
      <c r="G53" s="186">
        <v>0</v>
      </c>
      <c r="H53" s="186"/>
      <c r="I53" s="340"/>
      <c r="K53" s="319"/>
    </row>
    <row r="54" spans="4:12" x14ac:dyDescent="0.25">
      <c r="D54" s="181">
        <v>2.2999999999999998</v>
      </c>
      <c r="E54" s="181" t="s">
        <v>256</v>
      </c>
      <c r="F54" s="203">
        <f t="shared" ref="F54:G54" si="22">SUM(F55:F58)</f>
        <v>1719436407</v>
      </c>
      <c r="G54" s="203">
        <f t="shared" si="22"/>
        <v>1665938000</v>
      </c>
      <c r="H54" s="203">
        <f t="shared" ref="H54" si="23">SUM(H55:H58)</f>
        <v>25228888592.999153</v>
      </c>
      <c r="I54" s="346">
        <f t="shared" ref="I54" si="24">SUM(I55:I58)</f>
        <v>28614262999.999153</v>
      </c>
      <c r="J54" s="204"/>
      <c r="K54" s="318"/>
      <c r="L54" s="204"/>
    </row>
    <row r="55" spans="4:12" x14ac:dyDescent="0.25">
      <c r="D55" s="181" t="s">
        <v>257</v>
      </c>
      <c r="E55" s="187" t="s">
        <v>258</v>
      </c>
      <c r="F55" s="188">
        <v>0</v>
      </c>
      <c r="G55" s="188">
        <v>0</v>
      </c>
      <c r="H55" s="188"/>
      <c r="I55" s="340">
        <f t="shared" ref="I55:I64" si="25">+F55+G55+H55</f>
        <v>0</v>
      </c>
    </row>
    <row r="56" spans="4:12" x14ac:dyDescent="0.25">
      <c r="D56" s="181" t="s">
        <v>259</v>
      </c>
      <c r="E56" s="187" t="s">
        <v>260</v>
      </c>
      <c r="F56" s="188">
        <f>1879652800-160216393</f>
        <v>1719436407</v>
      </c>
      <c r="G56" s="189">
        <v>1665938000</v>
      </c>
      <c r="H56" s="188">
        <v>25228888592.999153</v>
      </c>
      <c r="I56" s="340">
        <f>+F56+G56+H56</f>
        <v>28614262999.999153</v>
      </c>
      <c r="J56" s="204"/>
      <c r="K56" s="318"/>
      <c r="L56" s="193"/>
    </row>
    <row r="57" spans="4:12" x14ac:dyDescent="0.25">
      <c r="D57" s="181" t="s">
        <v>261</v>
      </c>
      <c r="E57" s="187" t="s">
        <v>262</v>
      </c>
      <c r="F57" s="188"/>
      <c r="G57" s="188"/>
      <c r="H57" s="188"/>
      <c r="I57" s="340">
        <f t="shared" si="25"/>
        <v>0</v>
      </c>
      <c r="L57" s="204"/>
    </row>
    <row r="58" spans="4:12" x14ac:dyDescent="0.25">
      <c r="D58" s="181" t="s">
        <v>263</v>
      </c>
      <c r="E58" s="187" t="s">
        <v>163</v>
      </c>
      <c r="F58" s="188"/>
      <c r="G58" s="188"/>
      <c r="H58" s="188"/>
      <c r="I58" s="340">
        <f>+F58+G58+H58</f>
        <v>0</v>
      </c>
      <c r="J58" s="204"/>
      <c r="L58" s="204"/>
    </row>
    <row r="59" spans="4:12" x14ac:dyDescent="0.25">
      <c r="D59" s="181" t="s">
        <v>264</v>
      </c>
      <c r="E59" s="187" t="s">
        <v>56</v>
      </c>
      <c r="F59" s="188">
        <v>9929060708.5599995</v>
      </c>
      <c r="G59" s="189">
        <v>41897254.859999999</v>
      </c>
      <c r="H59" s="188">
        <v>-9970957963.4200001</v>
      </c>
      <c r="I59" s="340">
        <f t="shared" si="25"/>
        <v>0</v>
      </c>
      <c r="L59" s="204"/>
    </row>
    <row r="60" spans="4:12" x14ac:dyDescent="0.25">
      <c r="D60" s="181" t="s">
        <v>265</v>
      </c>
      <c r="E60" s="187" t="s">
        <v>266</v>
      </c>
      <c r="F60" s="188"/>
      <c r="G60" s="188"/>
      <c r="H60" s="188"/>
      <c r="I60" s="340">
        <f t="shared" si="25"/>
        <v>0</v>
      </c>
    </row>
    <row r="61" spans="4:12" x14ac:dyDescent="0.25">
      <c r="D61" s="181" t="s">
        <v>267</v>
      </c>
      <c r="E61" s="187" t="s">
        <v>268</v>
      </c>
      <c r="F61" s="188"/>
      <c r="G61" s="188"/>
      <c r="H61" s="188"/>
      <c r="I61" s="340">
        <f t="shared" si="25"/>
        <v>0</v>
      </c>
    </row>
    <row r="62" spans="4:12" x14ac:dyDescent="0.25">
      <c r="D62" s="181" t="s">
        <v>269</v>
      </c>
      <c r="E62" s="187" t="s">
        <v>58</v>
      </c>
      <c r="F62" s="188">
        <v>22776695068.560001</v>
      </c>
      <c r="G62" s="199">
        <v>1583044590.6500001</v>
      </c>
      <c r="H62" s="188"/>
      <c r="I62" s="340">
        <f>+F62+G62+H62</f>
        <v>24359739659.210003</v>
      </c>
      <c r="J62" s="204"/>
    </row>
    <row r="63" spans="4:12" x14ac:dyDescent="0.25">
      <c r="D63" s="181" t="s">
        <v>270</v>
      </c>
      <c r="E63" s="187" t="s">
        <v>59</v>
      </c>
      <c r="F63" s="188">
        <v>23995205844.098999</v>
      </c>
      <c r="G63" s="188">
        <v>131404448.44500001</v>
      </c>
      <c r="H63" s="188">
        <v>-15257930629.58</v>
      </c>
      <c r="I63" s="340">
        <f>+F63+G63+H63</f>
        <v>8868679662.9639988</v>
      </c>
      <c r="J63" s="204"/>
    </row>
    <row r="64" spans="4:12" x14ac:dyDescent="0.25">
      <c r="D64" s="181" t="s">
        <v>271</v>
      </c>
      <c r="E64" s="190"/>
      <c r="F64" s="188"/>
      <c r="G64" s="188"/>
      <c r="H64" s="188"/>
      <c r="I64" s="340">
        <f t="shared" si="25"/>
        <v>0</v>
      </c>
    </row>
    <row r="65" spans="4:9" x14ac:dyDescent="0.25">
      <c r="D65" s="194" t="s">
        <v>272</v>
      </c>
      <c r="E65" s="195" t="s">
        <v>62</v>
      </c>
      <c r="F65" s="191">
        <f t="shared" ref="F65" si="26">F54+F59+F62+F63+F60</f>
        <v>58420398028.219002</v>
      </c>
      <c r="G65" s="191">
        <f t="shared" ref="G65" si="27">G54+G59+G62+G63+G60</f>
        <v>3422284293.9550004</v>
      </c>
      <c r="H65" s="191">
        <f>H54+H59+H62+H63+H60</f>
        <v>-8.4686279296875E-4</v>
      </c>
      <c r="I65" s="342">
        <f t="shared" ref="I65" si="28">I54+I59+I62+I63+I60</f>
        <v>61842682322.173149</v>
      </c>
    </row>
    <row r="66" spans="4:9" x14ac:dyDescent="0.25">
      <c r="D66" s="194">
        <v>2.4</v>
      </c>
      <c r="E66" s="195" t="s">
        <v>63</v>
      </c>
      <c r="F66" s="196">
        <f t="shared" ref="F66:G66" si="29">F52+F65</f>
        <v>72877953224.26001</v>
      </c>
      <c r="G66" s="196">
        <f t="shared" si="29"/>
        <v>3628458886.1400003</v>
      </c>
      <c r="H66" s="196">
        <f t="shared" ref="H66" si="30">H52+H65</f>
        <v>-6717501.5608468624</v>
      </c>
      <c r="I66" s="343">
        <f t="shared" ref="I66" si="31">I52+I65</f>
        <v>76499694608.839142</v>
      </c>
    </row>
    <row r="67" spans="4:9" x14ac:dyDescent="0.25">
      <c r="D67" s="205"/>
      <c r="F67" s="317"/>
      <c r="G67" s="317">
        <f>+G66-G28</f>
        <v>0</v>
      </c>
      <c r="H67" s="317"/>
      <c r="I67" s="317"/>
    </row>
    <row r="68" spans="4:9" x14ac:dyDescent="0.25">
      <c r="D68" s="205"/>
      <c r="F68" s="317"/>
      <c r="G68" s="317"/>
      <c r="H68" s="317"/>
      <c r="I68" s="317"/>
    </row>
  </sheetData>
  <mergeCells count="3">
    <mergeCell ref="H3:H4"/>
    <mergeCell ref="D1:I1"/>
    <mergeCell ref="F3:G3"/>
  </mergeCells>
  <pageMargins left="0.31" right="0.17" top="0.75" bottom="0.75" header="0.3" footer="0.3"/>
  <pageSetup paperSize="9" orientation="portrait" r:id="rId1"/>
  <ignoredErrors>
    <ignoredError sqref="F65:G66" formulaRange="1"/>
    <ignoredError sqref="F64 G54:H54 F55:G55 F43 F46:G47 F50:G51 F53:G53 F44:G45 G52 F27:G31" formulaRange="1" unlockedFormula="1"/>
    <ignoredError sqref="F22:H26 F32:H42 H27:H31 F54 F52 H52 F49:H49 H44:H45 H53 H50:H51 H46:H47 G43:H43 F57:H57 H55 G64:H64 F21 F48:G48 F59:H61 F58:G58 H21 F56:G56 F63:G63 F62:G6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="90" zoomScaleNormal="90" workbookViewId="0">
      <selection activeCell="A36" sqref="A36:XFD38"/>
    </sheetView>
  </sheetViews>
  <sheetFormatPr defaultColWidth="9.109375" defaultRowHeight="12" x14ac:dyDescent="0.25"/>
  <cols>
    <col min="1" max="1" width="9.109375" style="207"/>
    <col min="2" max="2" width="4.44140625" style="207" bestFit="1" customWidth="1"/>
    <col min="3" max="3" width="50.5546875" style="207" customWidth="1"/>
    <col min="4" max="4" width="15.88671875" style="207" hidden="1" customWidth="1"/>
    <col min="5" max="5" width="14" style="207" hidden="1" customWidth="1"/>
    <col min="6" max="6" width="13.109375" style="207" hidden="1" customWidth="1"/>
    <col min="7" max="7" width="21" style="207" bestFit="1" customWidth="1"/>
    <col min="8" max="16384" width="9.109375" style="207"/>
  </cols>
  <sheetData>
    <row r="1" spans="1:7" x14ac:dyDescent="0.25">
      <c r="A1" s="206"/>
      <c r="B1" s="329" t="s">
        <v>427</v>
      </c>
      <c r="C1" s="329"/>
      <c r="D1" s="329"/>
      <c r="E1" s="329"/>
      <c r="F1" s="329"/>
      <c r="G1" s="329"/>
    </row>
    <row r="2" spans="1:7" x14ac:dyDescent="0.25">
      <c r="A2" s="206"/>
      <c r="B2" s="208"/>
    </row>
    <row r="3" spans="1:7" x14ac:dyDescent="0.25">
      <c r="A3" s="206"/>
      <c r="B3" s="209"/>
      <c r="D3" s="180"/>
      <c r="E3" s="180"/>
      <c r="F3" s="180"/>
      <c r="G3" s="210" t="s">
        <v>440</v>
      </c>
    </row>
    <row r="4" spans="1:7" s="212" customFormat="1" ht="12" customHeight="1" x14ac:dyDescent="0.3">
      <c r="A4" s="211"/>
      <c r="B4" s="328" t="s">
        <v>177</v>
      </c>
      <c r="C4" s="328" t="s">
        <v>145</v>
      </c>
      <c r="D4" s="325" t="s">
        <v>438</v>
      </c>
      <c r="E4" s="325"/>
      <c r="F4" s="327" t="s">
        <v>148</v>
      </c>
      <c r="G4" s="338" t="s">
        <v>438</v>
      </c>
    </row>
    <row r="5" spans="1:7" s="212" customFormat="1" x14ac:dyDescent="0.3">
      <c r="A5" s="211"/>
      <c r="B5" s="328"/>
      <c r="C5" s="328"/>
      <c r="D5" s="185" t="s">
        <v>379</v>
      </c>
      <c r="E5" s="185" t="s">
        <v>380</v>
      </c>
      <c r="F5" s="327"/>
      <c r="G5" s="339" t="s">
        <v>381</v>
      </c>
    </row>
    <row r="6" spans="1:7" x14ac:dyDescent="0.25">
      <c r="A6" s="206"/>
      <c r="B6" s="213">
        <v>1</v>
      </c>
      <c r="C6" s="214" t="s">
        <v>273</v>
      </c>
      <c r="D6" s="215">
        <v>311434533.94</v>
      </c>
      <c r="E6" s="215"/>
      <c r="F6" s="215"/>
      <c r="G6" s="340">
        <f>+D6+E6+F6</f>
        <v>311434533.94</v>
      </c>
    </row>
    <row r="7" spans="1:7" x14ac:dyDescent="0.25">
      <c r="A7" s="206"/>
      <c r="B7" s="213">
        <v>2</v>
      </c>
      <c r="C7" s="214" t="s">
        <v>274</v>
      </c>
      <c r="D7" s="215"/>
      <c r="E7" s="215"/>
      <c r="F7" s="215"/>
      <c r="G7" s="340">
        <f>+D7+E7+F7</f>
        <v>0</v>
      </c>
    </row>
    <row r="8" spans="1:7" x14ac:dyDescent="0.25">
      <c r="A8" s="216"/>
      <c r="B8" s="217">
        <v>3</v>
      </c>
      <c r="C8" s="218" t="s">
        <v>275</v>
      </c>
      <c r="D8" s="219">
        <f t="shared" ref="D8:G8" si="0">SUM(D6:D7)</f>
        <v>311434533.94</v>
      </c>
      <c r="E8" s="219">
        <f t="shared" si="0"/>
        <v>0</v>
      </c>
      <c r="F8" s="219">
        <f t="shared" si="0"/>
        <v>0</v>
      </c>
      <c r="G8" s="223">
        <f t="shared" si="0"/>
        <v>311434533.94</v>
      </c>
    </row>
    <row r="9" spans="1:7" x14ac:dyDescent="0.25">
      <c r="A9" s="206"/>
      <c r="B9" s="213">
        <v>4</v>
      </c>
      <c r="C9" s="214" t="s">
        <v>71</v>
      </c>
      <c r="D9" s="215">
        <v>358512610.27999997</v>
      </c>
      <c r="E9" s="215"/>
      <c r="F9" s="215"/>
      <c r="G9" s="340">
        <f>+D9+E9+F9</f>
        <v>358512610.27999997</v>
      </c>
    </row>
    <row r="10" spans="1:7" x14ac:dyDescent="0.25">
      <c r="A10" s="206"/>
      <c r="B10" s="213">
        <v>5</v>
      </c>
      <c r="C10" s="214" t="s">
        <v>69</v>
      </c>
      <c r="D10" s="215">
        <v>147585588.31</v>
      </c>
      <c r="E10" s="215">
        <v>1426.25</v>
      </c>
      <c r="F10" s="215"/>
      <c r="G10" s="340">
        <f t="shared" ref="G10:G22" si="1">+D10+E10+F10</f>
        <v>147587014.56</v>
      </c>
    </row>
    <row r="11" spans="1:7" x14ac:dyDescent="0.25">
      <c r="A11" s="206"/>
      <c r="B11" s="220">
        <v>6</v>
      </c>
      <c r="C11" s="214" t="s">
        <v>276</v>
      </c>
      <c r="D11" s="215">
        <v>483441617.50999999</v>
      </c>
      <c r="E11" s="215"/>
      <c r="F11" s="215"/>
      <c r="G11" s="340">
        <f t="shared" si="1"/>
        <v>483441617.50999999</v>
      </c>
    </row>
    <row r="12" spans="1:7" x14ac:dyDescent="0.25">
      <c r="A12" s="206"/>
      <c r="B12" s="213">
        <v>7</v>
      </c>
      <c r="C12" s="214" t="s">
        <v>277</v>
      </c>
      <c r="D12" s="215"/>
      <c r="E12" s="215"/>
      <c r="F12" s="215"/>
      <c r="G12" s="340">
        <f t="shared" si="1"/>
        <v>0</v>
      </c>
    </row>
    <row r="13" spans="1:7" x14ac:dyDescent="0.25">
      <c r="A13" s="206"/>
      <c r="B13" s="213">
        <v>8</v>
      </c>
      <c r="C13" s="214" t="s">
        <v>278</v>
      </c>
      <c r="D13" s="215">
        <v>35019601.710000001</v>
      </c>
      <c r="E13" s="215"/>
      <c r="F13" s="215"/>
      <c r="G13" s="340">
        <f t="shared" si="1"/>
        <v>35019601.710000001</v>
      </c>
    </row>
    <row r="14" spans="1:7" x14ac:dyDescent="0.25">
      <c r="A14" s="206"/>
      <c r="B14" s="213">
        <v>9</v>
      </c>
      <c r="C14" s="214" t="s">
        <v>279</v>
      </c>
      <c r="D14" s="215">
        <v>322465031.86000001</v>
      </c>
      <c r="E14" s="215">
        <v>1589900</v>
      </c>
      <c r="F14" s="215"/>
      <c r="G14" s="340">
        <f t="shared" si="1"/>
        <v>324054931.86000001</v>
      </c>
    </row>
    <row r="15" spans="1:7" x14ac:dyDescent="0.25">
      <c r="A15" s="206"/>
      <c r="B15" s="213">
        <v>10</v>
      </c>
      <c r="C15" s="214" t="s">
        <v>280</v>
      </c>
      <c r="D15" s="215">
        <v>2399628583.9099998</v>
      </c>
      <c r="E15" s="215">
        <v>6090183.3600000003</v>
      </c>
      <c r="F15" s="215"/>
      <c r="G15" s="340">
        <f t="shared" si="1"/>
        <v>2405718767.27</v>
      </c>
    </row>
    <row r="16" spans="1:7" x14ac:dyDescent="0.25">
      <c r="A16" s="206"/>
      <c r="B16" s="213">
        <v>11</v>
      </c>
      <c r="C16" s="214" t="s">
        <v>77</v>
      </c>
      <c r="D16" s="215">
        <v>553021125.00999999</v>
      </c>
      <c r="E16" s="215"/>
      <c r="F16" s="215"/>
      <c r="G16" s="340">
        <f t="shared" si="1"/>
        <v>553021125.00999999</v>
      </c>
    </row>
    <row r="17" spans="1:7" x14ac:dyDescent="0.25">
      <c r="A17" s="206"/>
      <c r="B17" s="213">
        <v>12</v>
      </c>
      <c r="C17" s="214" t="s">
        <v>79</v>
      </c>
      <c r="D17" s="215">
        <v>52830582.340000004</v>
      </c>
      <c r="E17" s="215"/>
      <c r="F17" s="215"/>
      <c r="G17" s="340">
        <f t="shared" si="1"/>
        <v>52830582.340000004</v>
      </c>
    </row>
    <row r="18" spans="1:7" x14ac:dyDescent="0.25">
      <c r="A18" s="206"/>
      <c r="B18" s="213">
        <v>13</v>
      </c>
      <c r="C18" s="214" t="s">
        <v>281</v>
      </c>
      <c r="D18" s="215">
        <v>-549736.01999999885</v>
      </c>
      <c r="E18" s="215"/>
      <c r="F18" s="215"/>
      <c r="G18" s="340">
        <f t="shared" si="1"/>
        <v>-549736.01999999885</v>
      </c>
    </row>
    <row r="19" spans="1:7" x14ac:dyDescent="0.25">
      <c r="A19" s="206"/>
      <c r="B19" s="213">
        <v>14</v>
      </c>
      <c r="C19" s="214" t="s">
        <v>282</v>
      </c>
      <c r="D19" s="221">
        <v>-34430209.43</v>
      </c>
      <c r="E19" s="221"/>
      <c r="F19" s="221"/>
      <c r="G19" s="340">
        <f t="shared" si="1"/>
        <v>-34430209.43</v>
      </c>
    </row>
    <row r="20" spans="1:7" x14ac:dyDescent="0.25">
      <c r="A20" s="206"/>
      <c r="B20" s="213" t="s">
        <v>283</v>
      </c>
      <c r="C20" s="214" t="s">
        <v>284</v>
      </c>
      <c r="D20" s="221"/>
      <c r="E20" s="221"/>
      <c r="F20" s="221"/>
      <c r="G20" s="340">
        <f t="shared" si="1"/>
        <v>0</v>
      </c>
    </row>
    <row r="21" spans="1:7" x14ac:dyDescent="0.25">
      <c r="A21" s="206"/>
      <c r="B21" s="213" t="s">
        <v>285</v>
      </c>
      <c r="C21" s="214" t="s">
        <v>286</v>
      </c>
      <c r="D21" s="221">
        <v>245820848.10000002</v>
      </c>
      <c r="E21" s="221"/>
      <c r="F21" s="221"/>
      <c r="G21" s="340">
        <f t="shared" si="1"/>
        <v>245820848.10000002</v>
      </c>
    </row>
    <row r="22" spans="1:7" x14ac:dyDescent="0.25">
      <c r="A22" s="206"/>
      <c r="B22" s="213">
        <v>17</v>
      </c>
      <c r="C22" s="214" t="s">
        <v>287</v>
      </c>
      <c r="D22" s="221"/>
      <c r="E22" s="221"/>
      <c r="F22" s="221"/>
      <c r="G22" s="340">
        <f t="shared" si="1"/>
        <v>0</v>
      </c>
    </row>
    <row r="23" spans="1:7" x14ac:dyDescent="0.25">
      <c r="A23" s="216"/>
      <c r="B23" s="217">
        <v>18</v>
      </c>
      <c r="C23" s="222" t="s">
        <v>288</v>
      </c>
      <c r="D23" s="223">
        <f t="shared" ref="D23:F23" si="2">+D10+D11+D12+D13-D14-D15-D16-D17+D18+D21+D19+D20+D9+D8</f>
        <v>-1781110468.72</v>
      </c>
      <c r="E23" s="223">
        <f t="shared" si="2"/>
        <v>-7678657.1100000003</v>
      </c>
      <c r="F23" s="223">
        <f t="shared" si="2"/>
        <v>0</v>
      </c>
      <c r="G23" s="223">
        <f>+G10+G11+G12+G13-G14-G15-G16-G17+G18+G21+G19+G20+G9+G8</f>
        <v>-1788789125.8299997</v>
      </c>
    </row>
    <row r="24" spans="1:7" x14ac:dyDescent="0.25">
      <c r="A24" s="206"/>
      <c r="B24" s="213">
        <v>19</v>
      </c>
      <c r="C24" s="214" t="s">
        <v>83</v>
      </c>
      <c r="D24" s="221">
        <v>14758558.831</v>
      </c>
      <c r="E24" s="221">
        <v>142.625</v>
      </c>
      <c r="F24" s="221"/>
      <c r="G24" s="340">
        <f>+D24+E24+F24</f>
        <v>14758701.456</v>
      </c>
    </row>
    <row r="25" spans="1:7" x14ac:dyDescent="0.25">
      <c r="A25" s="216"/>
      <c r="B25" s="224">
        <v>20</v>
      </c>
      <c r="C25" s="222" t="s">
        <v>289</v>
      </c>
      <c r="D25" s="223">
        <f t="shared" ref="D25:F25" si="3">+D23-D24</f>
        <v>-1795869027.5510001</v>
      </c>
      <c r="E25" s="223">
        <f t="shared" si="3"/>
        <v>-7678799.7350000003</v>
      </c>
      <c r="F25" s="223">
        <f t="shared" si="3"/>
        <v>0</v>
      </c>
      <c r="G25" s="223">
        <f>+G23-G24</f>
        <v>-1803547827.2859998</v>
      </c>
    </row>
    <row r="26" spans="1:7" x14ac:dyDescent="0.25">
      <c r="A26" s="206"/>
      <c r="B26" s="213">
        <v>21</v>
      </c>
      <c r="C26" s="214" t="s">
        <v>290</v>
      </c>
      <c r="D26" s="221"/>
      <c r="E26" s="221"/>
      <c r="F26" s="221"/>
      <c r="G26" s="347"/>
    </row>
    <row r="27" spans="1:7" x14ac:dyDescent="0.25">
      <c r="A27" s="216"/>
      <c r="B27" s="217">
        <v>22</v>
      </c>
      <c r="C27" s="218" t="s">
        <v>291</v>
      </c>
      <c r="D27" s="223">
        <f t="shared" ref="D27:F27" si="4">+D25</f>
        <v>-1795869027.5510001</v>
      </c>
      <c r="E27" s="223">
        <f t="shared" si="4"/>
        <v>-7678799.7350000003</v>
      </c>
      <c r="F27" s="223">
        <f t="shared" si="4"/>
        <v>0</v>
      </c>
      <c r="G27" s="223">
        <f>+G25</f>
        <v>-1803547827.2859998</v>
      </c>
    </row>
    <row r="28" spans="1:7" x14ac:dyDescent="0.25">
      <c r="A28" s="216"/>
      <c r="B28" s="224">
        <v>23</v>
      </c>
      <c r="C28" s="218" t="s">
        <v>292</v>
      </c>
      <c r="D28" s="223">
        <f t="shared" ref="D28:F28" si="5">SUM(D29:D31)</f>
        <v>9705634656.0400009</v>
      </c>
      <c r="E28" s="223">
        <f t="shared" si="5"/>
        <v>479228598</v>
      </c>
      <c r="F28" s="223">
        <f t="shared" si="5"/>
        <v>0</v>
      </c>
      <c r="G28" s="223">
        <f t="shared" ref="G28" si="6">SUM(G29:G31)</f>
        <v>10184863254.040001</v>
      </c>
    </row>
    <row r="29" spans="1:7" x14ac:dyDescent="0.25">
      <c r="A29" s="206"/>
      <c r="B29" s="213">
        <v>23.1</v>
      </c>
      <c r="C29" s="214" t="s">
        <v>293</v>
      </c>
      <c r="D29" s="221"/>
      <c r="E29" s="221"/>
      <c r="F29" s="221"/>
      <c r="G29" s="340">
        <f>+D29+E29+F29</f>
        <v>0</v>
      </c>
    </row>
    <row r="30" spans="1:7" x14ac:dyDescent="0.25">
      <c r="A30" s="206"/>
      <c r="B30" s="213">
        <v>23.2</v>
      </c>
      <c r="C30" s="214" t="s">
        <v>294</v>
      </c>
      <c r="D30" s="221"/>
      <c r="E30" s="221"/>
      <c r="F30" s="221"/>
      <c r="G30" s="340">
        <f>+D30+E30+F30</f>
        <v>0</v>
      </c>
    </row>
    <row r="31" spans="1:7" x14ac:dyDescent="0.25">
      <c r="A31" s="206"/>
      <c r="B31" s="213">
        <v>23.3</v>
      </c>
      <c r="C31" s="214" t="s">
        <v>295</v>
      </c>
      <c r="D31" s="221">
        <v>9705634656.0400009</v>
      </c>
      <c r="E31" s="221">
        <v>479228598</v>
      </c>
      <c r="F31" s="221"/>
      <c r="G31" s="340">
        <f>+D31+E31+F31</f>
        <v>10184863254.040001</v>
      </c>
    </row>
    <row r="32" spans="1:7" x14ac:dyDescent="0.25">
      <c r="A32" s="216"/>
      <c r="B32" s="217">
        <v>24</v>
      </c>
      <c r="C32" s="222" t="s">
        <v>296</v>
      </c>
      <c r="D32" s="219">
        <f t="shared" ref="D32:F32" si="7">+D28+D27</f>
        <v>7909765628.4890003</v>
      </c>
      <c r="E32" s="219">
        <f>+E28+E27</f>
        <v>471549798.26499999</v>
      </c>
      <c r="F32" s="219">
        <f t="shared" si="7"/>
        <v>0</v>
      </c>
      <c r="G32" s="223">
        <f>+G28+G27</f>
        <v>8381315426.7540016</v>
      </c>
    </row>
    <row r="33" spans="1:7" x14ac:dyDescent="0.25">
      <c r="A33" s="206"/>
      <c r="B33" s="225">
        <v>25</v>
      </c>
      <c r="C33" s="226" t="s">
        <v>297</v>
      </c>
      <c r="D33" s="215"/>
      <c r="E33" s="215"/>
      <c r="F33" s="215"/>
      <c r="G33" s="347">
        <v>0</v>
      </c>
    </row>
    <row r="34" spans="1:7" x14ac:dyDescent="0.25">
      <c r="A34" s="227"/>
      <c r="B34" s="228"/>
      <c r="C34" s="229"/>
      <c r="D34" s="230">
        <f>+D32-[12]balance!$M$64</f>
        <v>0</v>
      </c>
      <c r="G34" s="231"/>
    </row>
    <row r="35" spans="1:7" x14ac:dyDescent="0.25">
      <c r="A35" s="227"/>
      <c r="B35" s="208"/>
      <c r="C35" s="232"/>
      <c r="G35" s="233">
        <f>G15+G16</f>
        <v>2958739892.2799997</v>
      </c>
    </row>
  </sheetData>
  <mergeCells count="5">
    <mergeCell ref="F4:F5"/>
    <mergeCell ref="D4:E4"/>
    <mergeCell ref="C4:C5"/>
    <mergeCell ref="B4:B5"/>
    <mergeCell ref="B1:G1"/>
  </mergeCells>
  <pageMargins left="0.21" right="0.17" top="0.75" bottom="0.75" header="0.3" footer="0.3"/>
  <pageSetup paperSize="9" orientation="portrait" r:id="rId1"/>
  <ignoredErrors>
    <ignoredError sqref="D8:G8 F10:G19 F9" formula="1"/>
    <ignoredError sqref="D25:F25 D27:F27 D28:G30 E34:G34 F24 D26:G26 F20:G22 D23:G23 D35:F35 F33:G33 D33 F32 D32 F31" numberStoredAsText="1" formula="1"/>
    <ignoredError sqref="B20:E22 B34:D34 B31:E31 G31 B32:C32 E32 G32 B33:C33 E33 B35:C35 G35 B25:C25 B23:C23 B27:C27 B26:C26 B24:E24 G24 B28:C30 G27 G2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topLeftCell="A40" zoomScale="90" zoomScaleNormal="90" zoomScaleSheetLayoutView="100" workbookViewId="0">
      <selection activeCell="J52" sqref="J52"/>
    </sheetView>
  </sheetViews>
  <sheetFormatPr defaultColWidth="9.109375" defaultRowHeight="12" x14ac:dyDescent="0.25"/>
  <cols>
    <col min="1" max="1" width="9.109375" style="237"/>
    <col min="2" max="2" width="10.88671875" style="237" bestFit="1" customWidth="1"/>
    <col min="3" max="3" width="36" style="237" bestFit="1" customWidth="1"/>
    <col min="4" max="4" width="16.44140625" style="237" bestFit="1" customWidth="1"/>
    <col min="5" max="5" width="16.88671875" style="237" bestFit="1" customWidth="1"/>
    <col min="6" max="6" width="16.44140625" style="237" bestFit="1" customWidth="1"/>
    <col min="7" max="7" width="15.88671875" style="237" bestFit="1" customWidth="1"/>
    <col min="8" max="8" width="15.33203125" style="237" bestFit="1" customWidth="1"/>
    <col min="9" max="9" width="18.44140625" style="237" bestFit="1" customWidth="1"/>
    <col min="10" max="10" width="17" style="237" customWidth="1"/>
    <col min="11" max="11" width="16.44140625" style="237" bestFit="1" customWidth="1"/>
    <col min="12" max="12" width="14.5546875" style="237" bestFit="1" customWidth="1"/>
    <col min="13" max="13" width="2.6640625" style="237" bestFit="1" customWidth="1"/>
    <col min="14" max="16384" width="9.109375" style="237"/>
  </cols>
  <sheetData>
    <row r="1" spans="2:11" hidden="1" x14ac:dyDescent="0.25"/>
    <row r="2" spans="2:11" hidden="1" x14ac:dyDescent="0.25"/>
    <row r="3" spans="2:11" hidden="1" x14ac:dyDescent="0.25">
      <c r="B3" s="234"/>
      <c r="C3" s="235"/>
      <c r="D3" s="332" t="s">
        <v>435</v>
      </c>
      <c r="E3" s="332"/>
      <c r="F3" s="332"/>
      <c r="G3" s="332"/>
      <c r="H3" s="332"/>
      <c r="I3" s="332"/>
      <c r="J3" s="235"/>
      <c r="K3" s="236"/>
    </row>
    <row r="4" spans="2:11" hidden="1" x14ac:dyDescent="0.25">
      <c r="B4" s="238"/>
      <c r="C4" s="235"/>
      <c r="D4" s="239"/>
      <c r="E4" s="235"/>
      <c r="F4" s="235"/>
      <c r="G4" s="235"/>
      <c r="H4" s="235"/>
      <c r="I4" s="235"/>
      <c r="J4" s="235"/>
      <c r="K4" s="240" t="s">
        <v>176</v>
      </c>
    </row>
    <row r="5" spans="2:11" hidden="1" x14ac:dyDescent="0.25">
      <c r="B5" s="333" t="s">
        <v>177</v>
      </c>
      <c r="C5" s="241" t="s">
        <v>298</v>
      </c>
      <c r="D5" s="241">
        <v>1</v>
      </c>
      <c r="E5" s="241">
        <v>2</v>
      </c>
      <c r="F5" s="241">
        <v>3</v>
      </c>
      <c r="G5" s="241">
        <v>4</v>
      </c>
      <c r="H5" s="241">
        <v>5</v>
      </c>
      <c r="I5" s="241">
        <v>6</v>
      </c>
      <c r="J5" s="241">
        <v>7</v>
      </c>
      <c r="K5" s="242">
        <v>8</v>
      </c>
    </row>
    <row r="6" spans="2:11" ht="34.200000000000003" hidden="1" x14ac:dyDescent="0.25">
      <c r="B6" s="334"/>
      <c r="C6" s="243" t="s">
        <v>299</v>
      </c>
      <c r="D6" s="243" t="s">
        <v>300</v>
      </c>
      <c r="E6" s="243" t="s">
        <v>163</v>
      </c>
      <c r="F6" s="243" t="s">
        <v>56</v>
      </c>
      <c r="G6" s="243" t="s">
        <v>266</v>
      </c>
      <c r="H6" s="243" t="s">
        <v>268</v>
      </c>
      <c r="I6" s="243" t="s">
        <v>58</v>
      </c>
      <c r="J6" s="243" t="s">
        <v>59</v>
      </c>
      <c r="K6" s="244" t="s">
        <v>301</v>
      </c>
    </row>
    <row r="7" spans="2:11" hidden="1" x14ac:dyDescent="0.25">
      <c r="B7" s="245">
        <v>1</v>
      </c>
      <c r="C7" s="246" t="s">
        <v>429</v>
      </c>
      <c r="D7" s="247">
        <f>1879652800-160216393</f>
        <v>1719436407</v>
      </c>
      <c r="E7" s="247"/>
      <c r="F7" s="247">
        <v>9929060708.5599995</v>
      </c>
      <c r="G7" s="248">
        <v>0.27999973297119141</v>
      </c>
      <c r="H7" s="247">
        <v>0</v>
      </c>
      <c r="I7" s="247">
        <v>13071060412.18</v>
      </c>
      <c r="J7" s="247">
        <v>25791074871.82095</v>
      </c>
      <c r="K7" s="247">
        <v>50510632399.84095</v>
      </c>
    </row>
    <row r="8" spans="2:11" ht="24" hidden="1" x14ac:dyDescent="0.25">
      <c r="B8" s="249">
        <v>2</v>
      </c>
      <c r="C8" s="250" t="s">
        <v>302</v>
      </c>
      <c r="D8" s="251"/>
      <c r="E8" s="251"/>
      <c r="F8" s="251"/>
      <c r="G8" s="251"/>
      <c r="H8" s="251"/>
      <c r="I8" s="251"/>
      <c r="J8" s="251"/>
      <c r="K8" s="247">
        <v>0</v>
      </c>
    </row>
    <row r="9" spans="2:11" hidden="1" x14ac:dyDescent="0.25">
      <c r="B9" s="245">
        <v>3</v>
      </c>
      <c r="C9" s="246" t="s">
        <v>303</v>
      </c>
      <c r="D9" s="247">
        <f>1879652800-160216393</f>
        <v>1719436407</v>
      </c>
      <c r="E9" s="247"/>
      <c r="F9" s="247">
        <v>9929060708.5599995</v>
      </c>
      <c r="G9" s="247">
        <v>0.27999973297119141</v>
      </c>
      <c r="H9" s="247">
        <v>0</v>
      </c>
      <c r="I9" s="247">
        <v>13071060412.18</v>
      </c>
      <c r="J9" s="247">
        <v>25791074871.82095</v>
      </c>
      <c r="K9" s="247">
        <v>50510632399.84095</v>
      </c>
    </row>
    <row r="10" spans="2:11" hidden="1" x14ac:dyDescent="0.25">
      <c r="B10" s="249">
        <v>4</v>
      </c>
      <c r="C10" s="250" t="s">
        <v>84</v>
      </c>
      <c r="D10" s="251"/>
      <c r="E10" s="252"/>
      <c r="F10" s="251"/>
      <c r="G10" s="253"/>
      <c r="H10" s="251"/>
      <c r="I10" s="251">
        <v>9705634656.0400009</v>
      </c>
      <c r="J10" s="248">
        <v>-1795869027.5509999</v>
      </c>
      <c r="K10" s="247">
        <v>7909765628.4890013</v>
      </c>
    </row>
    <row r="11" spans="2:11" hidden="1" x14ac:dyDescent="0.25">
      <c r="B11" s="249">
        <v>5</v>
      </c>
      <c r="C11" s="250" t="s">
        <v>292</v>
      </c>
      <c r="D11" s="251"/>
      <c r="E11" s="251"/>
      <c r="F11" s="251"/>
      <c r="G11" s="251"/>
      <c r="H11" s="251"/>
      <c r="I11" s="251"/>
      <c r="J11" s="251"/>
      <c r="K11" s="247">
        <v>0</v>
      </c>
    </row>
    <row r="12" spans="2:11" hidden="1" x14ac:dyDescent="0.25">
      <c r="B12" s="249">
        <v>6</v>
      </c>
      <c r="C12" s="250" t="s">
        <v>304</v>
      </c>
      <c r="D12" s="251"/>
      <c r="E12" s="254"/>
      <c r="F12" s="253"/>
      <c r="G12" s="251"/>
      <c r="H12" s="251"/>
      <c r="I12" s="251"/>
      <c r="J12" s="251"/>
      <c r="K12" s="247">
        <v>0</v>
      </c>
    </row>
    <row r="13" spans="2:11" hidden="1" x14ac:dyDescent="0.25">
      <c r="B13" s="249">
        <v>7</v>
      </c>
      <c r="C13" s="250" t="s">
        <v>305</v>
      </c>
      <c r="D13" s="251"/>
      <c r="E13" s="251"/>
      <c r="F13" s="251"/>
      <c r="G13" s="251"/>
      <c r="H13" s="251"/>
      <c r="I13" s="251"/>
      <c r="J13" s="251"/>
      <c r="K13" s="247">
        <v>0</v>
      </c>
    </row>
    <row r="14" spans="2:11" hidden="1" x14ac:dyDescent="0.25">
      <c r="B14" s="249">
        <v>8</v>
      </c>
      <c r="C14" s="250" t="s">
        <v>306</v>
      </c>
      <c r="D14" s="251"/>
      <c r="E14" s="251"/>
      <c r="F14" s="251"/>
      <c r="G14" s="251"/>
      <c r="H14" s="251"/>
      <c r="I14" s="251"/>
      <c r="J14" s="251"/>
      <c r="K14" s="247">
        <v>0</v>
      </c>
    </row>
    <row r="15" spans="2:11" hidden="1" x14ac:dyDescent="0.25">
      <c r="B15" s="245">
        <v>9</v>
      </c>
      <c r="C15" s="246" t="s">
        <v>430</v>
      </c>
      <c r="D15" s="247">
        <f>1879652800-160216393</f>
        <v>1719436407</v>
      </c>
      <c r="E15" s="247"/>
      <c r="F15" s="247">
        <v>9929060708.5599995</v>
      </c>
      <c r="G15" s="247">
        <v>0.27999973297119141</v>
      </c>
      <c r="H15" s="247">
        <v>0</v>
      </c>
      <c r="I15" s="247">
        <v>22776695068.220001</v>
      </c>
      <c r="J15" s="247">
        <v>23995205844.269951</v>
      </c>
      <c r="K15" s="247">
        <v>58420398028.329948</v>
      </c>
    </row>
    <row r="16" spans="2:11" hidden="1" x14ac:dyDescent="0.25">
      <c r="B16" s="255"/>
      <c r="C16" s="253"/>
      <c r="D16" s="148"/>
      <c r="E16" s="148"/>
      <c r="F16" s="148">
        <f>+F15-'[7]СТ-1'!E59</f>
        <v>0</v>
      </c>
      <c r="G16" s="148"/>
      <c r="H16" s="148"/>
      <c r="I16" s="148">
        <f>+I15-BS!F62</f>
        <v>-0.34000015258789063</v>
      </c>
      <c r="J16" s="148">
        <f>+J15-BS!F63</f>
        <v>0.17095184326171875</v>
      </c>
      <c r="K16" s="148">
        <f>+K15-BS!F65</f>
        <v>0.1109466552734375</v>
      </c>
    </row>
    <row r="17" spans="2:12" hidden="1" x14ac:dyDescent="0.25">
      <c r="B17" s="255"/>
      <c r="C17" s="253"/>
      <c r="D17" s="253"/>
      <c r="E17" s="256"/>
      <c r="F17" s="253"/>
      <c r="G17" s="253"/>
      <c r="H17" s="253"/>
      <c r="I17" s="257"/>
      <c r="J17" s="256"/>
      <c r="K17" s="258"/>
    </row>
    <row r="18" spans="2:12" s="259" customFormat="1" hidden="1" x14ac:dyDescent="0.25">
      <c r="B18" s="330" t="s">
        <v>436</v>
      </c>
      <c r="C18" s="330"/>
      <c r="D18" s="330"/>
      <c r="E18" s="330"/>
      <c r="F18" s="330"/>
      <c r="G18" s="330"/>
      <c r="H18" s="330"/>
      <c r="I18" s="330"/>
      <c r="J18" s="330"/>
      <c r="K18" s="330"/>
    </row>
    <row r="19" spans="2:12" s="259" customFormat="1" hidden="1" x14ac:dyDescent="0.25">
      <c r="B19" s="331"/>
      <c r="C19" s="331"/>
      <c r="D19" s="260"/>
      <c r="E19" s="260"/>
      <c r="K19" s="259" t="s">
        <v>431</v>
      </c>
    </row>
    <row r="20" spans="2:12" s="259" customFormat="1" hidden="1" x14ac:dyDescent="0.25">
      <c r="K20" s="261" t="s">
        <v>383</v>
      </c>
    </row>
    <row r="21" spans="2:12" s="259" customFormat="1" ht="24" hidden="1" x14ac:dyDescent="0.25">
      <c r="B21" s="262" t="s">
        <v>384</v>
      </c>
      <c r="C21" s="262" t="s">
        <v>145</v>
      </c>
      <c r="D21" s="263" t="s">
        <v>300</v>
      </c>
      <c r="E21" s="263" t="s">
        <v>163</v>
      </c>
      <c r="F21" s="263" t="s">
        <v>385</v>
      </c>
      <c r="G21" s="263" t="s">
        <v>386</v>
      </c>
      <c r="H21" s="263" t="s">
        <v>268</v>
      </c>
      <c r="I21" s="263" t="s">
        <v>58</v>
      </c>
      <c r="J21" s="263" t="s">
        <v>59</v>
      </c>
      <c r="K21" s="263" t="s">
        <v>301</v>
      </c>
    </row>
    <row r="22" spans="2:12" s="259" customFormat="1" hidden="1" x14ac:dyDescent="0.25">
      <c r="B22" s="262">
        <v>0</v>
      </c>
      <c r="C22" s="264" t="s">
        <v>432</v>
      </c>
      <c r="D22" s="265"/>
      <c r="E22" s="265"/>
      <c r="F22" s="265"/>
      <c r="G22" s="265"/>
      <c r="H22" s="265"/>
      <c r="I22" s="265"/>
      <c r="J22" s="265"/>
      <c r="K22" s="265"/>
      <c r="L22" s="266"/>
    </row>
    <row r="23" spans="2:12" s="259" customFormat="1" ht="24" hidden="1" x14ac:dyDescent="0.25">
      <c r="B23" s="262">
        <v>1</v>
      </c>
      <c r="C23" s="267" t="s">
        <v>387</v>
      </c>
      <c r="D23" s="268"/>
      <c r="E23" s="268"/>
      <c r="F23" s="268"/>
      <c r="G23" s="268"/>
      <c r="H23" s="268"/>
      <c r="I23" s="268"/>
      <c r="J23" s="268"/>
      <c r="K23" s="265"/>
      <c r="L23" s="266"/>
    </row>
    <row r="24" spans="2:12" s="259" customFormat="1" hidden="1" x14ac:dyDescent="0.25">
      <c r="B24" s="262">
        <v>2</v>
      </c>
      <c r="C24" s="267" t="s">
        <v>382</v>
      </c>
      <c r="D24" s="268"/>
      <c r="E24" s="268"/>
      <c r="F24" s="268"/>
      <c r="G24" s="268"/>
      <c r="H24" s="268"/>
      <c r="I24" s="268"/>
      <c r="J24" s="268"/>
      <c r="K24" s="265"/>
      <c r="L24" s="269"/>
    </row>
    <row r="25" spans="2:12" s="259" customFormat="1" hidden="1" x14ac:dyDescent="0.25">
      <c r="B25" s="262">
        <v>3</v>
      </c>
      <c r="C25" s="270" t="s">
        <v>388</v>
      </c>
      <c r="D25" s="268"/>
      <c r="E25" s="268"/>
      <c r="F25" s="268"/>
      <c r="G25" s="268"/>
      <c r="H25" s="268"/>
      <c r="I25" s="271"/>
      <c r="J25" s="271"/>
      <c r="K25" s="265"/>
      <c r="L25" s="269"/>
    </row>
    <row r="26" spans="2:12" s="259" customFormat="1" hidden="1" x14ac:dyDescent="0.25">
      <c r="B26" s="262">
        <v>4</v>
      </c>
      <c r="C26" s="270" t="s">
        <v>292</v>
      </c>
      <c r="D26" s="268"/>
      <c r="E26" s="268"/>
      <c r="F26" s="268"/>
      <c r="G26" s="268"/>
      <c r="H26" s="268"/>
      <c r="I26" s="268"/>
      <c r="J26" s="268"/>
      <c r="K26" s="265">
        <v>0</v>
      </c>
      <c r="L26" s="269"/>
    </row>
    <row r="27" spans="2:12" s="259" customFormat="1" hidden="1" x14ac:dyDescent="0.25">
      <c r="B27" s="262">
        <v>5</v>
      </c>
      <c r="C27" s="270" t="s">
        <v>304</v>
      </c>
      <c r="D27" s="268"/>
      <c r="E27" s="268"/>
      <c r="F27" s="268"/>
      <c r="G27" s="268"/>
      <c r="H27" s="268"/>
      <c r="I27" s="268"/>
      <c r="J27" s="268"/>
      <c r="K27" s="265">
        <v>0</v>
      </c>
      <c r="L27" s="269"/>
    </row>
    <row r="28" spans="2:12" s="259" customFormat="1" hidden="1" x14ac:dyDescent="0.25">
      <c r="B28" s="262">
        <v>6</v>
      </c>
      <c r="C28" s="270" t="s">
        <v>305</v>
      </c>
      <c r="D28" s="268"/>
      <c r="E28" s="268"/>
      <c r="F28" s="268"/>
      <c r="G28" s="268"/>
      <c r="H28" s="268"/>
      <c r="I28" s="272"/>
      <c r="J28" s="272"/>
      <c r="K28" s="265">
        <v>0</v>
      </c>
      <c r="L28" s="269"/>
    </row>
    <row r="29" spans="2:12" s="259" customFormat="1" hidden="1" x14ac:dyDescent="0.25">
      <c r="B29" s="262">
        <v>7</v>
      </c>
      <c r="C29" s="270" t="s">
        <v>306</v>
      </c>
      <c r="D29" s="268"/>
      <c r="E29" s="268"/>
      <c r="F29" s="268"/>
      <c r="G29" s="268"/>
      <c r="H29" s="268"/>
      <c r="I29" s="268"/>
      <c r="J29" s="268"/>
      <c r="K29" s="265">
        <v>0</v>
      </c>
      <c r="L29" s="269"/>
    </row>
    <row r="30" spans="2:12" s="259" customFormat="1" hidden="1" x14ac:dyDescent="0.25">
      <c r="B30" s="262">
        <v>8</v>
      </c>
      <c r="C30" s="264" t="s">
        <v>433</v>
      </c>
      <c r="D30" s="268">
        <v>1665938000</v>
      </c>
      <c r="E30" s="265"/>
      <c r="F30" s="268">
        <v>41897254.859999999</v>
      </c>
      <c r="G30" s="265"/>
      <c r="H30" s="265"/>
      <c r="I30" s="268">
        <v>1103815993</v>
      </c>
      <c r="J30" s="189">
        <v>141243788</v>
      </c>
      <c r="K30" s="265">
        <v>2952895035</v>
      </c>
      <c r="L30" s="266"/>
    </row>
    <row r="31" spans="2:12" s="259" customFormat="1" ht="24" hidden="1" x14ac:dyDescent="0.25">
      <c r="B31" s="262">
        <v>1</v>
      </c>
      <c r="C31" s="267" t="s">
        <v>387</v>
      </c>
      <c r="D31" s="268"/>
      <c r="E31" s="268"/>
      <c r="F31" s="268"/>
      <c r="G31" s="268"/>
      <c r="H31" s="268"/>
      <c r="I31" s="268"/>
      <c r="J31" s="268">
        <v>2160539.5099999998</v>
      </c>
      <c r="K31" s="265">
        <v>2160539.5099999998</v>
      </c>
      <c r="L31" s="266"/>
    </row>
    <row r="32" spans="2:12" s="259" customFormat="1" hidden="1" x14ac:dyDescent="0.25">
      <c r="B32" s="262">
        <v>2</v>
      </c>
      <c r="C32" s="267" t="s">
        <v>382</v>
      </c>
      <c r="D32" s="268"/>
      <c r="E32" s="268"/>
      <c r="F32" s="268"/>
      <c r="G32" s="268"/>
      <c r="H32" s="268"/>
      <c r="I32" s="268"/>
      <c r="J32" s="273">
        <v>139083248.49000001</v>
      </c>
      <c r="K32" s="265">
        <v>139083248.49000001</v>
      </c>
      <c r="L32" s="269"/>
    </row>
    <row r="33" spans="2:12" s="259" customFormat="1" hidden="1" x14ac:dyDescent="0.25">
      <c r="B33" s="262">
        <v>3</v>
      </c>
      <c r="C33" s="270" t="s">
        <v>388</v>
      </c>
      <c r="D33" s="268"/>
      <c r="E33" s="268"/>
      <c r="F33" s="268"/>
      <c r="G33" s="268"/>
      <c r="H33" s="268"/>
      <c r="I33" s="271"/>
      <c r="J33" s="271">
        <v>-7678799.7350000003</v>
      </c>
      <c r="K33" s="265">
        <v>-7678799.7350000003</v>
      </c>
      <c r="L33" s="269"/>
    </row>
    <row r="34" spans="2:12" s="259" customFormat="1" hidden="1" x14ac:dyDescent="0.25">
      <c r="B34" s="262">
        <v>4</v>
      </c>
      <c r="C34" s="270" t="s">
        <v>292</v>
      </c>
      <c r="D34" s="268"/>
      <c r="E34" s="268"/>
      <c r="F34" s="268"/>
      <c r="G34" s="268"/>
      <c r="H34" s="268"/>
      <c r="I34" s="268">
        <v>479228597.00500011</v>
      </c>
      <c r="J34" s="268"/>
      <c r="K34" s="265">
        <v>479228597.00500011</v>
      </c>
      <c r="L34" s="269"/>
    </row>
    <row r="35" spans="2:12" s="259" customFormat="1" hidden="1" x14ac:dyDescent="0.25">
      <c r="B35" s="262">
        <v>5</v>
      </c>
      <c r="C35" s="270" t="s">
        <v>304</v>
      </c>
      <c r="D35" s="268"/>
      <c r="E35" s="268"/>
      <c r="F35" s="268"/>
      <c r="G35" s="268"/>
      <c r="H35" s="268"/>
      <c r="I35" s="268"/>
      <c r="J35" s="268"/>
      <c r="K35" s="265">
        <v>0</v>
      </c>
      <c r="L35" s="269"/>
    </row>
    <row r="36" spans="2:12" s="259" customFormat="1" hidden="1" x14ac:dyDescent="0.25">
      <c r="B36" s="262">
        <v>6</v>
      </c>
      <c r="C36" s="270" t="s">
        <v>305</v>
      </c>
      <c r="D36" s="268"/>
      <c r="E36" s="268"/>
      <c r="F36" s="268"/>
      <c r="G36" s="268"/>
      <c r="H36" s="268"/>
      <c r="I36" s="272"/>
      <c r="J36" s="272"/>
      <c r="K36" s="265">
        <v>0</v>
      </c>
      <c r="L36" s="269"/>
    </row>
    <row r="37" spans="2:12" s="259" customFormat="1" hidden="1" x14ac:dyDescent="0.25">
      <c r="B37" s="262">
        <v>7</v>
      </c>
      <c r="C37" s="270" t="s">
        <v>306</v>
      </c>
      <c r="D37" s="268"/>
      <c r="E37" s="268"/>
      <c r="F37" s="268"/>
      <c r="G37" s="268"/>
      <c r="H37" s="268"/>
      <c r="I37" s="268"/>
      <c r="J37" s="268"/>
      <c r="K37" s="265">
        <v>0</v>
      </c>
      <c r="L37" s="269"/>
    </row>
    <row r="38" spans="2:12" s="259" customFormat="1" hidden="1" x14ac:dyDescent="0.25">
      <c r="B38" s="262">
        <v>8</v>
      </c>
      <c r="C38" s="264" t="s">
        <v>434</v>
      </c>
      <c r="D38" s="265">
        <v>1665938000</v>
      </c>
      <c r="E38" s="265"/>
      <c r="F38" s="265">
        <v>41897254.859999999</v>
      </c>
      <c r="G38" s="265"/>
      <c r="H38" s="265"/>
      <c r="I38" s="265">
        <v>1583044590.0050001</v>
      </c>
      <c r="J38" s="274">
        <v>131404448.75500001</v>
      </c>
      <c r="K38" s="265">
        <v>3422284293.6199999</v>
      </c>
      <c r="L38" s="266"/>
    </row>
    <row r="39" spans="2:12" s="275" customFormat="1" hidden="1" x14ac:dyDescent="0.25">
      <c r="D39" s="275">
        <f>+D38-BS!G56</f>
        <v>0</v>
      </c>
      <c r="F39" s="275">
        <f>+F38-BS!G59</f>
        <v>0</v>
      </c>
      <c r="I39" s="275">
        <f>+I38-BS!G62</f>
        <v>-0.64499998092651367</v>
      </c>
      <c r="J39" s="275">
        <f>+J38-BS!G63</f>
        <v>0.31000000238418579</v>
      </c>
      <c r="K39" s="275">
        <f>+K38-BS!G65</f>
        <v>-0.33500051498413086</v>
      </c>
    </row>
    <row r="42" spans="2:12" x14ac:dyDescent="0.25">
      <c r="B42" s="332" t="s">
        <v>437</v>
      </c>
      <c r="C42" s="332"/>
      <c r="D42" s="332"/>
      <c r="E42" s="332"/>
      <c r="F42" s="332"/>
      <c r="G42" s="332"/>
      <c r="H42" s="332"/>
      <c r="I42" s="332"/>
      <c r="J42" s="276"/>
      <c r="K42" s="236"/>
    </row>
    <row r="43" spans="2:12" x14ac:dyDescent="0.25">
      <c r="B43" s="238" t="s">
        <v>389</v>
      </c>
      <c r="C43" s="235"/>
      <c r="D43" s="239"/>
      <c r="E43" s="235"/>
      <c r="F43" s="235"/>
      <c r="G43" s="235"/>
      <c r="H43" s="235"/>
      <c r="I43" s="235"/>
      <c r="J43" s="235"/>
      <c r="K43" s="240" t="s">
        <v>176</v>
      </c>
    </row>
    <row r="44" spans="2:12" x14ac:dyDescent="0.25">
      <c r="B44" s="333" t="s">
        <v>177</v>
      </c>
      <c r="C44" s="241" t="s">
        <v>298</v>
      </c>
      <c r="D44" s="241">
        <v>1</v>
      </c>
      <c r="E44" s="241">
        <v>2</v>
      </c>
      <c r="F44" s="241">
        <v>3</v>
      </c>
      <c r="G44" s="241">
        <v>4</v>
      </c>
      <c r="H44" s="241">
        <v>5</v>
      </c>
      <c r="I44" s="241">
        <v>6</v>
      </c>
      <c r="J44" s="241">
        <v>7</v>
      </c>
      <c r="K44" s="242">
        <v>8</v>
      </c>
    </row>
    <row r="45" spans="2:12" ht="49.5" customHeight="1" x14ac:dyDescent="0.25">
      <c r="B45" s="334"/>
      <c r="C45" s="243" t="s">
        <v>299</v>
      </c>
      <c r="D45" s="243" t="s">
        <v>300</v>
      </c>
      <c r="E45" s="243" t="s">
        <v>163</v>
      </c>
      <c r="F45" s="243" t="s">
        <v>56</v>
      </c>
      <c r="G45" s="243" t="s">
        <v>266</v>
      </c>
      <c r="H45" s="243" t="s">
        <v>268</v>
      </c>
      <c r="I45" s="243" t="s">
        <v>58</v>
      </c>
      <c r="J45" s="243" t="s">
        <v>59</v>
      </c>
      <c r="K45" s="244" t="s">
        <v>301</v>
      </c>
    </row>
    <row r="46" spans="2:12" x14ac:dyDescent="0.25">
      <c r="B46" s="245">
        <v>1</v>
      </c>
      <c r="C46" s="246" t="s">
        <v>429</v>
      </c>
      <c r="D46" s="277">
        <f>+D30+D7</f>
        <v>3385374407</v>
      </c>
      <c r="E46" s="277">
        <f>+BS!F58+BS!G58</f>
        <v>0</v>
      </c>
      <c r="F46" s="277">
        <f>+BS!F59+BS!G59</f>
        <v>9970957963.4200001</v>
      </c>
      <c r="G46" s="278">
        <v>0</v>
      </c>
      <c r="H46" s="277">
        <v>0</v>
      </c>
      <c r="I46" s="277">
        <f>+BS!F62+BS!G62</f>
        <v>24359739659.210003</v>
      </c>
      <c r="J46" s="277">
        <f>+J7+J32-0.48</f>
        <v>25930158119.830952</v>
      </c>
      <c r="K46" s="277">
        <v>44650079831.569992</v>
      </c>
    </row>
    <row r="47" spans="2:12" ht="24" x14ac:dyDescent="0.25">
      <c r="B47" s="249">
        <v>2</v>
      </c>
      <c r="C47" s="250" t="s">
        <v>302</v>
      </c>
      <c r="D47" s="279"/>
      <c r="E47" s="279"/>
      <c r="F47" s="279"/>
      <c r="G47" s="279"/>
      <c r="H47" s="279"/>
      <c r="I47" s="279"/>
      <c r="J47" s="279"/>
      <c r="K47" s="277">
        <f t="shared" ref="K47:K53" si="0">SUM(D47:J47)</f>
        <v>0</v>
      </c>
    </row>
    <row r="48" spans="2:12" x14ac:dyDescent="0.25">
      <c r="B48" s="245">
        <v>3</v>
      </c>
      <c r="C48" s="246" t="s">
        <v>303</v>
      </c>
      <c r="D48" s="277">
        <f>SUM(D46:D47)</f>
        <v>3385374407</v>
      </c>
      <c r="E48" s="277">
        <f t="shared" ref="E48:F48" si="1">SUM(E46:E47)</f>
        <v>0</v>
      </c>
      <c r="F48" s="277">
        <f t="shared" si="1"/>
        <v>9970957963.4200001</v>
      </c>
      <c r="G48" s="277">
        <f>SUM(G46:G47)</f>
        <v>0</v>
      </c>
      <c r="H48" s="277">
        <f t="shared" ref="H48:J48" si="2">SUM(H46:H47)</f>
        <v>0</v>
      </c>
      <c r="I48" s="277">
        <f t="shared" si="2"/>
        <v>24359739659.210003</v>
      </c>
      <c r="J48" s="277">
        <f t="shared" si="2"/>
        <v>25930158119.830952</v>
      </c>
      <c r="K48" s="277">
        <f t="shared" si="0"/>
        <v>63646230149.460953</v>
      </c>
    </row>
    <row r="49" spans="2:12" x14ac:dyDescent="0.25">
      <c r="B49" s="249">
        <v>4</v>
      </c>
      <c r="C49" s="250" t="s">
        <v>84</v>
      </c>
      <c r="D49" s="279"/>
      <c r="E49" s="280"/>
      <c r="F49" s="279"/>
      <c r="G49" s="281"/>
      <c r="H49" s="279"/>
      <c r="I49" s="279"/>
      <c r="J49" s="278">
        <f>+IS!G27</f>
        <v>-1803547827.2859998</v>
      </c>
      <c r="K49" s="277">
        <f t="shared" si="0"/>
        <v>-1803547827.2859998</v>
      </c>
    </row>
    <row r="50" spans="2:12" x14ac:dyDescent="0.25">
      <c r="B50" s="249">
        <v>5</v>
      </c>
      <c r="C50" s="250" t="s">
        <v>292</v>
      </c>
      <c r="D50" s="279"/>
      <c r="E50" s="279"/>
      <c r="F50" s="279"/>
      <c r="G50" s="279"/>
      <c r="H50" s="279"/>
      <c r="I50" s="279"/>
      <c r="J50" s="279"/>
      <c r="K50" s="277">
        <f t="shared" si="0"/>
        <v>0</v>
      </c>
    </row>
    <row r="51" spans="2:12" x14ac:dyDescent="0.25">
      <c r="B51" s="249">
        <v>6</v>
      </c>
      <c r="C51" s="250" t="s">
        <v>304</v>
      </c>
      <c r="D51" s="279">
        <f>+BS!H56</f>
        <v>25228888592.999153</v>
      </c>
      <c r="E51" s="282">
        <f>+BS!H58</f>
        <v>0</v>
      </c>
      <c r="F51" s="281">
        <f>+BS!H59</f>
        <v>-9970957963.4200001</v>
      </c>
      <c r="G51" s="279"/>
      <c r="H51" s="279"/>
      <c r="I51" s="279">
        <f>+BS!H62</f>
        <v>0</v>
      </c>
      <c r="J51" s="279">
        <f>+BS!H63</f>
        <v>-15257930629.58</v>
      </c>
      <c r="K51" s="277">
        <f t="shared" si="0"/>
        <v>-8.4686279296875E-4</v>
      </c>
    </row>
    <row r="52" spans="2:12" x14ac:dyDescent="0.25">
      <c r="B52" s="249">
        <v>7</v>
      </c>
      <c r="C52" s="250" t="s">
        <v>305</v>
      </c>
      <c r="D52" s="279"/>
      <c r="E52" s="279"/>
      <c r="F52" s="279"/>
      <c r="G52" s="279"/>
      <c r="H52" s="279"/>
      <c r="I52" s="279"/>
      <c r="J52" s="279"/>
      <c r="K52" s="277">
        <f t="shared" si="0"/>
        <v>0</v>
      </c>
    </row>
    <row r="53" spans="2:12" x14ac:dyDescent="0.25">
      <c r="B53" s="249">
        <v>8</v>
      </c>
      <c r="C53" s="250" t="s">
        <v>306</v>
      </c>
      <c r="D53" s="279"/>
      <c r="E53" s="279"/>
      <c r="F53" s="279"/>
      <c r="G53" s="279"/>
      <c r="H53" s="279"/>
      <c r="I53" s="279"/>
      <c r="J53" s="279"/>
      <c r="K53" s="277">
        <f t="shared" si="0"/>
        <v>0</v>
      </c>
    </row>
    <row r="54" spans="2:12" ht="18" customHeight="1" x14ac:dyDescent="0.25">
      <c r="B54" s="283">
        <v>9</v>
      </c>
      <c r="C54" s="284" t="s">
        <v>439</v>
      </c>
      <c r="D54" s="285">
        <f>SUM(D48:D53)</f>
        <v>28614262999.999153</v>
      </c>
      <c r="E54" s="285">
        <f>SUM(E48:E53)</f>
        <v>0</v>
      </c>
      <c r="F54" s="285">
        <f t="shared" ref="F54:H54" si="3">SUM(F48:F53)</f>
        <v>0</v>
      </c>
      <c r="G54" s="285">
        <f t="shared" si="3"/>
        <v>0</v>
      </c>
      <c r="H54" s="285">
        <f t="shared" si="3"/>
        <v>0</v>
      </c>
      <c r="I54" s="285">
        <f>SUM(I48:I53)</f>
        <v>24359739659.210003</v>
      </c>
      <c r="J54" s="285">
        <f>SUM(J48:J53)</f>
        <v>8868679662.9649525</v>
      </c>
      <c r="K54" s="285">
        <f>SUM(K48:K53)</f>
        <v>61842682322.174103</v>
      </c>
      <c r="L54" s="286"/>
    </row>
    <row r="55" spans="2:12" x14ac:dyDescent="0.25">
      <c r="B55" s="255"/>
      <c r="C55" s="253"/>
      <c r="D55" s="253"/>
      <c r="E55" s="256"/>
      <c r="F55" s="253"/>
      <c r="G55" s="253"/>
      <c r="H55" s="253"/>
      <c r="I55" s="257"/>
      <c r="J55" s="256"/>
      <c r="K55" s="258"/>
    </row>
  </sheetData>
  <mergeCells count="6">
    <mergeCell ref="B18:K18"/>
    <mergeCell ref="B19:C19"/>
    <mergeCell ref="D3:I3"/>
    <mergeCell ref="B5:B6"/>
    <mergeCell ref="B44:B45"/>
    <mergeCell ref="B42:I42"/>
  </mergeCells>
  <pageMargins left="0.26" right="0.17" top="0.75" bottom="0.75" header="0.3" footer="0.3"/>
  <pageSetup paperSize="9" scale="79" orientation="landscape" r:id="rId1"/>
  <ignoredErrors>
    <ignoredError sqref="I51:J51 D5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61"/>
  <sheetViews>
    <sheetView tabSelected="1" zoomScale="86" zoomScaleNormal="86" workbookViewId="0">
      <selection activeCell="D30" sqref="D30"/>
    </sheetView>
  </sheetViews>
  <sheetFormatPr defaultColWidth="9.109375" defaultRowHeight="12" x14ac:dyDescent="0.25"/>
  <cols>
    <col min="1" max="1" width="9.109375" style="237"/>
    <col min="2" max="2" width="3.88671875" style="237" customWidth="1"/>
    <col min="3" max="3" width="5.109375" style="237" bestFit="1" customWidth="1"/>
    <col min="4" max="4" width="52.88671875" style="237" bestFit="1" customWidth="1"/>
    <col min="5" max="5" width="19.44140625" style="237" hidden="1" customWidth="1"/>
    <col min="6" max="6" width="15.5546875" style="237" hidden="1" customWidth="1"/>
    <col min="7" max="7" width="12.44140625" style="237" hidden="1" customWidth="1"/>
    <col min="8" max="8" width="21.5546875" style="237" bestFit="1" customWidth="1"/>
    <col min="9" max="16384" width="9.109375" style="237"/>
  </cols>
  <sheetData>
    <row r="1" spans="3:8" x14ac:dyDescent="0.25">
      <c r="C1" s="336" t="s">
        <v>426</v>
      </c>
      <c r="D1" s="336"/>
      <c r="E1" s="336"/>
      <c r="F1" s="336"/>
      <c r="G1" s="336"/>
      <c r="H1" s="336"/>
    </row>
    <row r="2" spans="3:8" x14ac:dyDescent="0.25">
      <c r="C2" s="287"/>
      <c r="D2" s="288"/>
      <c r="E2" s="288"/>
      <c r="H2" s="288"/>
    </row>
    <row r="3" spans="3:8" x14ac:dyDescent="0.25">
      <c r="C3" s="287"/>
      <c r="D3" s="234"/>
      <c r="E3" s="288"/>
      <c r="H3" s="288"/>
    </row>
    <row r="4" spans="3:8" x14ac:dyDescent="0.25">
      <c r="C4" s="289"/>
      <c r="D4" s="288"/>
      <c r="H4" s="240" t="s">
        <v>176</v>
      </c>
    </row>
    <row r="5" spans="3:8" x14ac:dyDescent="0.25">
      <c r="C5" s="335" t="s">
        <v>177</v>
      </c>
      <c r="D5" s="337" t="s">
        <v>299</v>
      </c>
      <c r="E5" s="327" t="s">
        <v>438</v>
      </c>
      <c r="F5" s="327"/>
      <c r="G5" s="327" t="s">
        <v>148</v>
      </c>
      <c r="H5" s="350" t="s">
        <v>438</v>
      </c>
    </row>
    <row r="6" spans="3:8" x14ac:dyDescent="0.25">
      <c r="C6" s="335"/>
      <c r="D6" s="337"/>
      <c r="E6" s="185" t="s">
        <v>379</v>
      </c>
      <c r="F6" s="185" t="s">
        <v>380</v>
      </c>
      <c r="G6" s="327"/>
      <c r="H6" s="351" t="s">
        <v>381</v>
      </c>
    </row>
    <row r="7" spans="3:8" x14ac:dyDescent="0.25">
      <c r="C7" s="290">
        <v>1</v>
      </c>
      <c r="D7" s="246" t="s">
        <v>307</v>
      </c>
      <c r="E7" s="291"/>
      <c r="F7" s="292"/>
      <c r="G7" s="292"/>
      <c r="H7" s="291"/>
    </row>
    <row r="8" spans="3:8" x14ac:dyDescent="0.25">
      <c r="C8" s="290">
        <v>1.1000000000000001</v>
      </c>
      <c r="D8" s="250" t="s">
        <v>308</v>
      </c>
      <c r="E8" s="223">
        <f>SUM(E9:E14)</f>
        <v>74226512.24000001</v>
      </c>
      <c r="F8" s="223">
        <f>SUM(F9:F14)</f>
        <v>0</v>
      </c>
      <c r="G8" s="223">
        <f t="shared" ref="G8" si="0">SUM(G9:G14)</f>
        <v>0</v>
      </c>
      <c r="H8" s="223">
        <f>SUM(H9:H14)</f>
        <v>74226512.24000001</v>
      </c>
    </row>
    <row r="9" spans="3:8" x14ac:dyDescent="0.25">
      <c r="C9" s="249" t="s">
        <v>180</v>
      </c>
      <c r="D9" s="293" t="s">
        <v>309</v>
      </c>
      <c r="E9" s="294"/>
      <c r="F9" s="295"/>
      <c r="G9" s="295"/>
      <c r="H9" s="340">
        <f>+E9+F9+G9</f>
        <v>0</v>
      </c>
    </row>
    <row r="10" spans="3:8" x14ac:dyDescent="0.25">
      <c r="C10" s="249" t="s">
        <v>182</v>
      </c>
      <c r="D10" s="293" t="s">
        <v>310</v>
      </c>
      <c r="E10" s="223"/>
      <c r="F10" s="295"/>
      <c r="G10" s="295"/>
      <c r="H10" s="340">
        <f t="shared" ref="H10:H14" si="1">+E10+F10+G10</f>
        <v>0</v>
      </c>
    </row>
    <row r="11" spans="3:8" x14ac:dyDescent="0.25">
      <c r="C11" s="249" t="s">
        <v>184</v>
      </c>
      <c r="D11" s="250" t="s">
        <v>311</v>
      </c>
      <c r="E11" s="223"/>
      <c r="F11" s="295"/>
      <c r="G11" s="295"/>
      <c r="H11" s="340">
        <f t="shared" si="1"/>
        <v>0</v>
      </c>
    </row>
    <row r="12" spans="3:8" x14ac:dyDescent="0.25">
      <c r="C12" s="249" t="s">
        <v>186</v>
      </c>
      <c r="D12" s="293" t="s">
        <v>312</v>
      </c>
      <c r="E12" s="223"/>
      <c r="F12" s="295"/>
      <c r="G12" s="295"/>
      <c r="H12" s="340">
        <f t="shared" si="1"/>
        <v>0</v>
      </c>
    </row>
    <row r="13" spans="3:8" x14ac:dyDescent="0.25">
      <c r="C13" s="249" t="s">
        <v>188</v>
      </c>
      <c r="D13" s="293" t="s">
        <v>313</v>
      </c>
      <c r="E13" s="223"/>
      <c r="F13" s="295"/>
      <c r="G13" s="295"/>
      <c r="H13" s="340">
        <f t="shared" si="1"/>
        <v>0</v>
      </c>
    </row>
    <row r="14" spans="3:8" x14ac:dyDescent="0.25">
      <c r="C14" s="249" t="s">
        <v>190</v>
      </c>
      <c r="D14" s="293" t="s">
        <v>314</v>
      </c>
      <c r="E14" s="294">
        <v>74226512.24000001</v>
      </c>
      <c r="F14" s="295"/>
      <c r="G14" s="295"/>
      <c r="H14" s="340">
        <f t="shared" si="1"/>
        <v>74226512.24000001</v>
      </c>
    </row>
    <row r="15" spans="3:8" x14ac:dyDescent="0.25">
      <c r="C15" s="249">
        <v>1.2</v>
      </c>
      <c r="D15" s="296" t="s">
        <v>315</v>
      </c>
      <c r="E15" s="223">
        <f>SUM(E16:E24)</f>
        <v>1959159126.0700002</v>
      </c>
      <c r="F15" s="223">
        <f>SUM(F16:F24)</f>
        <v>5231007.75</v>
      </c>
      <c r="G15" s="223">
        <f t="shared" ref="G15:H15" si="2">SUM(G16:G24)</f>
        <v>0</v>
      </c>
      <c r="H15" s="223">
        <f t="shared" si="2"/>
        <v>1964390133.8200002</v>
      </c>
    </row>
    <row r="16" spans="3:8" x14ac:dyDescent="0.25">
      <c r="C16" s="249" t="s">
        <v>202</v>
      </c>
      <c r="D16" s="297" t="s">
        <v>316</v>
      </c>
      <c r="E16" s="298">
        <v>233240790.12</v>
      </c>
      <c r="F16" s="295">
        <v>1021824</v>
      </c>
      <c r="G16" s="295"/>
      <c r="H16" s="340">
        <f>+E16+F16+G16</f>
        <v>234262614.12</v>
      </c>
    </row>
    <row r="17" spans="3:8" x14ac:dyDescent="0.25">
      <c r="C17" s="249" t="s">
        <v>203</v>
      </c>
      <c r="D17" s="297" t="s">
        <v>317</v>
      </c>
      <c r="E17" s="298">
        <v>49500000</v>
      </c>
      <c r="F17" s="295">
        <v>453120</v>
      </c>
      <c r="G17" s="295"/>
      <c r="H17" s="340">
        <f t="shared" ref="H17:H24" si="3">+E17+F17+G17</f>
        <v>49953120</v>
      </c>
    </row>
    <row r="18" spans="3:8" x14ac:dyDescent="0.25">
      <c r="C18" s="249" t="s">
        <v>204</v>
      </c>
      <c r="D18" s="297" t="s">
        <v>318</v>
      </c>
      <c r="E18" s="298">
        <v>25255540</v>
      </c>
      <c r="F18" s="295"/>
      <c r="G18" s="295"/>
      <c r="H18" s="340">
        <f t="shared" si="3"/>
        <v>25255540</v>
      </c>
    </row>
    <row r="19" spans="3:8" x14ac:dyDescent="0.25">
      <c r="C19" s="249" t="s">
        <v>206</v>
      </c>
      <c r="D19" s="297" t="s">
        <v>319</v>
      </c>
      <c r="E19" s="298">
        <v>65509463.520000003</v>
      </c>
      <c r="F19" s="295"/>
      <c r="G19" s="295"/>
      <c r="H19" s="340">
        <f t="shared" si="3"/>
        <v>65509463.520000003</v>
      </c>
    </row>
    <row r="20" spans="3:8" x14ac:dyDescent="0.25">
      <c r="C20" s="249" t="s">
        <v>208</v>
      </c>
      <c r="D20" s="297" t="s">
        <v>320</v>
      </c>
      <c r="E20" s="298">
        <v>23631670</v>
      </c>
      <c r="F20" s="295"/>
      <c r="G20" s="295"/>
      <c r="H20" s="340">
        <f t="shared" si="3"/>
        <v>23631670</v>
      </c>
    </row>
    <row r="21" spans="3:8" x14ac:dyDescent="0.25">
      <c r="C21" s="249" t="s">
        <v>210</v>
      </c>
      <c r="D21" s="297" t="s">
        <v>321</v>
      </c>
      <c r="E21" s="298">
        <v>430824088.35000002</v>
      </c>
      <c r="F21" s="295"/>
      <c r="G21" s="295"/>
      <c r="H21" s="340">
        <f t="shared" si="3"/>
        <v>430824088.35000002</v>
      </c>
    </row>
    <row r="22" spans="3:8" x14ac:dyDescent="0.25">
      <c r="C22" s="249" t="s">
        <v>212</v>
      </c>
      <c r="D22" s="297" t="s">
        <v>322</v>
      </c>
      <c r="E22" s="298">
        <v>47063212.399999999</v>
      </c>
      <c r="F22" s="295"/>
      <c r="G22" s="295"/>
      <c r="H22" s="340">
        <f t="shared" si="3"/>
        <v>47063212.399999999</v>
      </c>
    </row>
    <row r="23" spans="3:8" x14ac:dyDescent="0.25">
      <c r="C23" s="249" t="s">
        <v>214</v>
      </c>
      <c r="D23" s="297" t="s">
        <v>323</v>
      </c>
      <c r="E23" s="298"/>
      <c r="F23" s="295"/>
      <c r="G23" s="295"/>
      <c r="H23" s="340">
        <f t="shared" si="3"/>
        <v>0</v>
      </c>
    </row>
    <row r="24" spans="3:8" x14ac:dyDescent="0.25">
      <c r="C24" s="249" t="s">
        <v>216</v>
      </c>
      <c r="D24" s="297" t="s">
        <v>324</v>
      </c>
      <c r="E24" s="298">
        <v>1084134361.6800001</v>
      </c>
      <c r="F24" s="295">
        <v>3756063.75</v>
      </c>
      <c r="G24" s="295"/>
      <c r="H24" s="340">
        <f t="shared" si="3"/>
        <v>1087890425.4300001</v>
      </c>
    </row>
    <row r="25" spans="3:8" x14ac:dyDescent="0.25">
      <c r="C25" s="244">
        <v>1.3</v>
      </c>
      <c r="D25" s="246" t="s">
        <v>325</v>
      </c>
      <c r="E25" s="223">
        <f t="shared" ref="E25:H25" si="4">+E8-E15</f>
        <v>-1884932613.8300002</v>
      </c>
      <c r="F25" s="223">
        <f>+F8-F15</f>
        <v>-5231007.75</v>
      </c>
      <c r="G25" s="223">
        <f t="shared" si="4"/>
        <v>0</v>
      </c>
      <c r="H25" s="223">
        <f t="shared" si="4"/>
        <v>-1890163621.5800002</v>
      </c>
    </row>
    <row r="26" spans="3:8" x14ac:dyDescent="0.25">
      <c r="C26" s="290">
        <v>2</v>
      </c>
      <c r="D26" s="291" t="s">
        <v>326</v>
      </c>
      <c r="E26" s="299"/>
      <c r="F26" s="299"/>
      <c r="G26" s="299"/>
      <c r="H26" s="299"/>
    </row>
    <row r="27" spans="3:8" x14ac:dyDescent="0.25">
      <c r="C27" s="249">
        <v>2.1</v>
      </c>
      <c r="D27" s="296" t="s">
        <v>327</v>
      </c>
      <c r="E27" s="223">
        <f t="shared" ref="E27:H27" si="5">SUM(E28:E34)</f>
        <v>689871165.50999999</v>
      </c>
      <c r="F27" s="223">
        <f t="shared" si="5"/>
        <v>1525520</v>
      </c>
      <c r="G27" s="223">
        <f t="shared" si="5"/>
        <v>0</v>
      </c>
      <c r="H27" s="223">
        <f t="shared" si="5"/>
        <v>691396685.50999999</v>
      </c>
    </row>
    <row r="28" spans="3:8" x14ac:dyDescent="0.25">
      <c r="C28" s="249" t="s">
        <v>221</v>
      </c>
      <c r="D28" s="300" t="s">
        <v>328</v>
      </c>
      <c r="E28" s="294">
        <v>132951951</v>
      </c>
      <c r="F28" s="295"/>
      <c r="G28" s="295"/>
      <c r="H28" s="340">
        <f>+E28+F28+G28</f>
        <v>132951951</v>
      </c>
    </row>
    <row r="29" spans="3:8" x14ac:dyDescent="0.25">
      <c r="C29" s="249" t="s">
        <v>243</v>
      </c>
      <c r="D29" s="300" t="s">
        <v>329</v>
      </c>
      <c r="E29" s="294">
        <v>0</v>
      </c>
      <c r="F29" s="295"/>
      <c r="G29" s="295"/>
      <c r="H29" s="340">
        <f t="shared" ref="H29:H35" si="6">+E29+F29+G29</f>
        <v>0</v>
      </c>
    </row>
    <row r="30" spans="3:8" x14ac:dyDescent="0.25">
      <c r="C30" s="249" t="s">
        <v>330</v>
      </c>
      <c r="D30" s="300" t="s">
        <v>331</v>
      </c>
      <c r="E30" s="294">
        <v>0</v>
      </c>
      <c r="F30" s="295"/>
      <c r="G30" s="295"/>
      <c r="H30" s="340">
        <f t="shared" si="6"/>
        <v>0</v>
      </c>
    </row>
    <row r="31" spans="3:8" x14ac:dyDescent="0.25">
      <c r="C31" s="249" t="s">
        <v>332</v>
      </c>
      <c r="D31" s="300" t="s">
        <v>333</v>
      </c>
      <c r="E31" s="294">
        <v>0</v>
      </c>
      <c r="F31" s="295"/>
      <c r="G31" s="295"/>
      <c r="H31" s="340">
        <f t="shared" si="6"/>
        <v>0</v>
      </c>
    </row>
    <row r="32" spans="3:8" x14ac:dyDescent="0.25">
      <c r="C32" s="249" t="s">
        <v>334</v>
      </c>
      <c r="D32" s="300" t="s">
        <v>335</v>
      </c>
      <c r="E32" s="294">
        <v>65993889.789999999</v>
      </c>
      <c r="F32" s="295">
        <v>1525520</v>
      </c>
      <c r="G32" s="295"/>
      <c r="H32" s="340">
        <f t="shared" si="6"/>
        <v>67519409.789999992</v>
      </c>
    </row>
    <row r="33" spans="3:8" x14ac:dyDescent="0.25">
      <c r="C33" s="249" t="s">
        <v>336</v>
      </c>
      <c r="D33" s="300" t="s">
        <v>337</v>
      </c>
      <c r="E33" s="294">
        <v>5203690.68</v>
      </c>
      <c r="F33" s="295"/>
      <c r="G33" s="295"/>
      <c r="H33" s="340">
        <f t="shared" si="6"/>
        <v>5203690.68</v>
      </c>
    </row>
    <row r="34" spans="3:8" x14ac:dyDescent="0.25">
      <c r="C34" s="249" t="s">
        <v>338</v>
      </c>
      <c r="D34" s="300" t="s">
        <v>339</v>
      </c>
      <c r="E34" s="294">
        <v>485721634.04000002</v>
      </c>
      <c r="F34" s="295"/>
      <c r="G34" s="295"/>
      <c r="H34" s="340">
        <f t="shared" si="6"/>
        <v>485721634.04000002</v>
      </c>
    </row>
    <row r="35" spans="3:8" x14ac:dyDescent="0.25">
      <c r="C35" s="249" t="s">
        <v>340</v>
      </c>
      <c r="D35" s="301"/>
      <c r="E35" s="294"/>
      <c r="F35" s="295"/>
      <c r="G35" s="295"/>
      <c r="H35" s="340">
        <f t="shared" si="6"/>
        <v>0</v>
      </c>
    </row>
    <row r="36" spans="3:8" x14ac:dyDescent="0.25">
      <c r="C36" s="249">
        <v>2.2000000000000002</v>
      </c>
      <c r="D36" s="296" t="s">
        <v>315</v>
      </c>
      <c r="E36" s="223">
        <f t="shared" ref="E36:H36" si="7">SUM(E37:E42)</f>
        <v>1159900680.6399999</v>
      </c>
      <c r="F36" s="223">
        <f t="shared" si="7"/>
        <v>0</v>
      </c>
      <c r="G36" s="223">
        <f t="shared" si="7"/>
        <v>0</v>
      </c>
      <c r="H36" s="223">
        <f t="shared" si="7"/>
        <v>1159900680.6399999</v>
      </c>
    </row>
    <row r="37" spans="3:8" x14ac:dyDescent="0.25">
      <c r="C37" s="249" t="s">
        <v>341</v>
      </c>
      <c r="D37" s="297" t="s">
        <v>342</v>
      </c>
      <c r="E37" s="294">
        <v>53102350</v>
      </c>
      <c r="F37" s="295"/>
      <c r="G37" s="295"/>
      <c r="H37" s="340">
        <f>+E37+F37+G37</f>
        <v>53102350</v>
      </c>
    </row>
    <row r="38" spans="3:8" x14ac:dyDescent="0.25">
      <c r="C38" s="249" t="s">
        <v>343</v>
      </c>
      <c r="D38" s="297" t="s">
        <v>344</v>
      </c>
      <c r="E38" s="294">
        <v>484000</v>
      </c>
      <c r="F38" s="295"/>
      <c r="G38" s="295"/>
      <c r="H38" s="340">
        <f t="shared" ref="H38:H42" si="8">+E38+F38+G38</f>
        <v>484000</v>
      </c>
    </row>
    <row r="39" spans="3:8" x14ac:dyDescent="0.25">
      <c r="C39" s="249" t="s">
        <v>345</v>
      </c>
      <c r="D39" s="297" t="s">
        <v>346</v>
      </c>
      <c r="E39" s="294">
        <v>158796605.53</v>
      </c>
      <c r="F39" s="295"/>
      <c r="G39" s="295"/>
      <c r="H39" s="340">
        <f t="shared" si="8"/>
        <v>158796605.53</v>
      </c>
    </row>
    <row r="40" spans="3:8" x14ac:dyDescent="0.25">
      <c r="C40" s="249" t="s">
        <v>347</v>
      </c>
      <c r="D40" s="297" t="s">
        <v>348</v>
      </c>
      <c r="E40" s="294">
        <v>337050000</v>
      </c>
      <c r="F40" s="295"/>
      <c r="G40" s="295"/>
      <c r="H40" s="340">
        <f t="shared" si="8"/>
        <v>337050000</v>
      </c>
    </row>
    <row r="41" spans="3:8" x14ac:dyDescent="0.25">
      <c r="C41" s="249" t="s">
        <v>349</v>
      </c>
      <c r="D41" s="297" t="s">
        <v>350</v>
      </c>
      <c r="E41" s="294">
        <v>610467725.11000001</v>
      </c>
      <c r="F41" s="295"/>
      <c r="G41" s="295"/>
      <c r="H41" s="340">
        <f t="shared" si="8"/>
        <v>610467725.11000001</v>
      </c>
    </row>
    <row r="42" spans="3:8" x14ac:dyDescent="0.25">
      <c r="C42" s="302" t="s">
        <v>351</v>
      </c>
      <c r="D42" s="303"/>
      <c r="E42" s="294"/>
      <c r="F42" s="295"/>
      <c r="G42" s="295"/>
      <c r="H42" s="340">
        <f t="shared" si="8"/>
        <v>0</v>
      </c>
    </row>
    <row r="43" spans="3:8" ht="22.8" x14ac:dyDescent="0.25">
      <c r="C43" s="245">
        <v>2.2999999999999998</v>
      </c>
      <c r="D43" s="246" t="s">
        <v>352</v>
      </c>
      <c r="E43" s="223">
        <f t="shared" ref="E43:H43" si="9">+E27-E36</f>
        <v>-470029515.12999988</v>
      </c>
      <c r="F43" s="223">
        <f t="shared" si="9"/>
        <v>1525520</v>
      </c>
      <c r="G43" s="223">
        <f t="shared" si="9"/>
        <v>0</v>
      </c>
      <c r="H43" s="223">
        <f t="shared" si="9"/>
        <v>-468503995.12999988</v>
      </c>
    </row>
    <row r="44" spans="3:8" x14ac:dyDescent="0.25">
      <c r="C44" s="290">
        <v>3</v>
      </c>
      <c r="D44" s="291" t="s">
        <v>353</v>
      </c>
      <c r="E44" s="299"/>
      <c r="F44" s="295"/>
      <c r="G44" s="295"/>
      <c r="H44" s="299"/>
    </row>
    <row r="45" spans="3:8" x14ac:dyDescent="0.25">
      <c r="C45" s="249">
        <v>3.1</v>
      </c>
      <c r="D45" s="296" t="s">
        <v>327</v>
      </c>
      <c r="E45" s="223">
        <f t="shared" ref="E45:H45" si="10">SUM(E46:E49)</f>
        <v>5045626954</v>
      </c>
      <c r="F45" s="223">
        <f t="shared" si="10"/>
        <v>3655604</v>
      </c>
      <c r="G45" s="223">
        <f t="shared" si="10"/>
        <v>0</v>
      </c>
      <c r="H45" s="223">
        <f t="shared" si="10"/>
        <v>5049282558</v>
      </c>
    </row>
    <row r="46" spans="3:8" x14ac:dyDescent="0.25">
      <c r="C46" s="249" t="s">
        <v>354</v>
      </c>
      <c r="D46" s="297" t="s">
        <v>355</v>
      </c>
      <c r="E46" s="294">
        <v>970696000</v>
      </c>
      <c r="F46" s="295">
        <v>3655604</v>
      </c>
      <c r="G46" s="295"/>
      <c r="H46" s="340">
        <f>+E46+F46+G46</f>
        <v>974351604</v>
      </c>
    </row>
    <row r="47" spans="3:8" x14ac:dyDescent="0.25">
      <c r="C47" s="249" t="s">
        <v>356</v>
      </c>
      <c r="D47" s="297" t="s">
        <v>357</v>
      </c>
      <c r="E47" s="294">
        <v>4074930954</v>
      </c>
      <c r="F47" s="295"/>
      <c r="G47" s="295"/>
      <c r="H47" s="340">
        <f t="shared" ref="H47:H49" si="11">+E47+F47+G47</f>
        <v>4074930954</v>
      </c>
    </row>
    <row r="48" spans="3:8" x14ac:dyDescent="0.25">
      <c r="C48" s="249" t="s">
        <v>358</v>
      </c>
      <c r="D48" s="300" t="s">
        <v>359</v>
      </c>
      <c r="E48" s="223"/>
      <c r="F48" s="295"/>
      <c r="G48" s="295"/>
      <c r="H48" s="340">
        <f t="shared" si="11"/>
        <v>0</v>
      </c>
    </row>
    <row r="49" spans="3:8" x14ac:dyDescent="0.25">
      <c r="C49" s="249" t="s">
        <v>360</v>
      </c>
      <c r="D49" s="301"/>
      <c r="E49" s="223"/>
      <c r="F49" s="295"/>
      <c r="G49" s="295"/>
      <c r="H49" s="340">
        <f t="shared" si="11"/>
        <v>0</v>
      </c>
    </row>
    <row r="50" spans="3:8" x14ac:dyDescent="0.25">
      <c r="C50" s="249">
        <v>3.2</v>
      </c>
      <c r="D50" s="296" t="s">
        <v>315</v>
      </c>
      <c r="E50" s="223">
        <f>SUM(E51:E54)</f>
        <v>2000029426.1000001</v>
      </c>
      <c r="F50" s="223">
        <f>SUM(F51:F54)</f>
        <v>0</v>
      </c>
      <c r="G50" s="223">
        <f t="shared" ref="G50" si="12">SUM(G51:G54)</f>
        <v>0</v>
      </c>
      <c r="H50" s="223">
        <f t="shared" ref="H50" si="13">SUM(H51:H54)</f>
        <v>2000029426.1000001</v>
      </c>
    </row>
    <row r="51" spans="3:8" x14ac:dyDescent="0.25">
      <c r="C51" s="249" t="s">
        <v>361</v>
      </c>
      <c r="D51" s="300" t="s">
        <v>362</v>
      </c>
      <c r="E51" s="294">
        <v>2000029426.1000001</v>
      </c>
      <c r="F51" s="295"/>
      <c r="G51" s="295"/>
      <c r="H51" s="340">
        <f>+E51+F51+G51</f>
        <v>2000029426.1000001</v>
      </c>
    </row>
    <row r="52" spans="3:8" x14ac:dyDescent="0.25">
      <c r="C52" s="249" t="s">
        <v>363</v>
      </c>
      <c r="D52" s="297" t="s">
        <v>364</v>
      </c>
      <c r="E52" s="223"/>
      <c r="F52" s="295"/>
      <c r="G52" s="295"/>
      <c r="H52" s="340">
        <f t="shared" ref="H52:H54" si="14">+E52+F52+G52</f>
        <v>0</v>
      </c>
    </row>
    <row r="53" spans="3:8" x14ac:dyDescent="0.25">
      <c r="C53" s="249" t="s">
        <v>365</v>
      </c>
      <c r="D53" s="297" t="s">
        <v>366</v>
      </c>
      <c r="E53" s="294"/>
      <c r="F53" s="295"/>
      <c r="G53" s="295"/>
      <c r="H53" s="340">
        <f t="shared" si="14"/>
        <v>0</v>
      </c>
    </row>
    <row r="54" spans="3:8" x14ac:dyDescent="0.25">
      <c r="C54" s="249" t="s">
        <v>367</v>
      </c>
      <c r="D54" s="297" t="s">
        <v>368</v>
      </c>
      <c r="E54" s="223"/>
      <c r="F54" s="295"/>
      <c r="G54" s="295"/>
      <c r="H54" s="340">
        <f t="shared" si="14"/>
        <v>0</v>
      </c>
    </row>
    <row r="55" spans="3:8" s="306" customFormat="1" x14ac:dyDescent="0.3">
      <c r="C55" s="244">
        <v>3.3</v>
      </c>
      <c r="D55" s="304" t="s">
        <v>369</v>
      </c>
      <c r="E55" s="305">
        <f>+E45-E50</f>
        <v>3045597527.8999996</v>
      </c>
      <c r="F55" s="305">
        <f>+F45-F50</f>
        <v>3655604</v>
      </c>
      <c r="G55" s="305">
        <f t="shared" ref="G55:H55" si="15">+G45-G50</f>
        <v>0</v>
      </c>
      <c r="H55" s="352">
        <f t="shared" si="15"/>
        <v>3049253131.8999996</v>
      </c>
    </row>
    <row r="56" spans="3:8" x14ac:dyDescent="0.25">
      <c r="C56" s="244">
        <v>4</v>
      </c>
      <c r="D56" s="307" t="s">
        <v>370</v>
      </c>
      <c r="E56" s="308"/>
      <c r="F56" s="308"/>
      <c r="G56" s="308"/>
      <c r="H56" s="308"/>
    </row>
    <row r="57" spans="3:8" x14ac:dyDescent="0.25">
      <c r="C57" s="244">
        <v>4.0999999999999996</v>
      </c>
      <c r="D57" s="309" t="s">
        <v>371</v>
      </c>
      <c r="E57" s="223">
        <f>+E25+E43+E55</f>
        <v>690635398.93999958</v>
      </c>
      <c r="F57" s="223">
        <f>+F25+F43+F55</f>
        <v>-49883.75</v>
      </c>
      <c r="G57" s="223">
        <f t="shared" ref="G57:H57" si="16">+G25+G43+G55</f>
        <v>0</v>
      </c>
      <c r="H57" s="223">
        <f t="shared" si="16"/>
        <v>690585515.18999958</v>
      </c>
    </row>
    <row r="58" spans="3:8" x14ac:dyDescent="0.25">
      <c r="C58" s="244">
        <v>5</v>
      </c>
      <c r="D58" s="309" t="s">
        <v>372</v>
      </c>
      <c r="E58" s="308">
        <f>+[13]CF!$D$77</f>
        <v>11421981.985670209</v>
      </c>
      <c r="F58" s="308">
        <f>+'[14]Баланс-1'!$D$10</f>
        <v>178767.89</v>
      </c>
      <c r="G58" s="308"/>
      <c r="H58" s="352">
        <f>+E58+F58+G58</f>
        <v>11600749.87567021</v>
      </c>
    </row>
    <row r="59" spans="3:8" ht="13.2" customHeight="1" x14ac:dyDescent="0.25">
      <c r="C59" s="244">
        <v>6</v>
      </c>
      <c r="D59" s="309" t="s">
        <v>373</v>
      </c>
      <c r="E59" s="310">
        <f>+BS!F6</f>
        <v>702057381.00999999</v>
      </c>
      <c r="F59" s="310">
        <f>+BS!G6</f>
        <v>128884.14</v>
      </c>
      <c r="G59" s="310"/>
      <c r="H59" s="352">
        <f>+E59+F59+G59</f>
        <v>702186265.14999998</v>
      </c>
    </row>
    <row r="60" spans="3:8" s="235" customFormat="1" ht="13.2" customHeight="1" x14ac:dyDescent="0.25">
      <c r="C60" s="311"/>
      <c r="D60" s="312"/>
      <c r="E60" s="348"/>
      <c r="F60" s="348"/>
      <c r="G60" s="348"/>
      <c r="H60" s="349"/>
    </row>
    <row r="61" spans="3:8" s="235" customFormat="1" ht="13.2" customHeight="1" x14ac:dyDescent="0.25">
      <c r="C61" s="311"/>
      <c r="D61" s="312"/>
      <c r="E61" s="348"/>
      <c r="F61" s="348"/>
      <c r="G61" s="348"/>
      <c r="H61" s="349"/>
    </row>
  </sheetData>
  <mergeCells count="5">
    <mergeCell ref="C5:C6"/>
    <mergeCell ref="E5:F5"/>
    <mergeCell ref="C1:H1"/>
    <mergeCell ref="G5:G6"/>
    <mergeCell ref="D5:D6"/>
  </mergeCells>
  <pageMargins left="0.17" right="0.23" top="0.75" bottom="0.75" header="0.3" footer="0.3"/>
  <pageSetup paperSize="9" scale="98" orientation="portrait" r:id="rId1"/>
  <ignoredErrors>
    <ignoredError sqref="G15:H15 E36 G17:G18 H50 G46 G57:H57 E45 G45:H45 E56:H56 E44:H44 E43 G43:H43 G16 F38:G42 F37:G37 E49:G49 E54:G54 F51:G51 G47 F48:G48 F52:G53 G36:H36" formula="1"/>
    <ignoredError sqref="G58:H59" formula="1" unlockedFormula="1"/>
    <ignoredError sqref="E58:F5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B1" workbookViewId="0">
      <selection activeCell="G24" sqref="G24"/>
    </sheetView>
  </sheetViews>
  <sheetFormatPr defaultColWidth="11.44140625" defaultRowHeight="12" x14ac:dyDescent="0.25"/>
  <cols>
    <col min="1" max="1" width="20" style="170" customWidth="1"/>
    <col min="2" max="2" width="13.6640625" style="170" bestFit="1" customWidth="1"/>
    <col min="3" max="3" width="16.33203125" style="170" bestFit="1" customWidth="1"/>
    <col min="4" max="4" width="78.6640625" style="170" bestFit="1" customWidth="1"/>
    <col min="5" max="5" width="44.5546875" style="170" bestFit="1" customWidth="1"/>
    <col min="6" max="6" width="13" style="171" bestFit="1" customWidth="1"/>
    <col min="7" max="7" width="12.88671875" style="171" bestFit="1" customWidth="1"/>
    <col min="8" max="8" width="7.88671875" style="171" bestFit="1" customWidth="1"/>
    <col min="9" max="16384" width="11.44140625" style="170"/>
  </cols>
  <sheetData>
    <row r="1" spans="1:8" ht="24" x14ac:dyDescent="0.25">
      <c r="A1" s="168" t="s">
        <v>392</v>
      </c>
      <c r="B1" s="168"/>
      <c r="C1" s="168"/>
      <c r="D1" s="168"/>
      <c r="E1" s="168"/>
      <c r="F1" s="169"/>
      <c r="G1" s="169" t="s">
        <v>393</v>
      </c>
      <c r="H1" s="169"/>
    </row>
    <row r="2" spans="1:8" x14ac:dyDescent="0.25">
      <c r="A2" s="168" t="s">
        <v>394</v>
      </c>
      <c r="B2" s="168" t="s">
        <v>395</v>
      </c>
      <c r="C2" s="168" t="s">
        <v>396</v>
      </c>
      <c r="D2" s="168" t="s">
        <v>397</v>
      </c>
      <c r="E2" s="168" t="s">
        <v>398</v>
      </c>
      <c r="F2" s="169" t="s">
        <v>399</v>
      </c>
      <c r="G2" s="169" t="s">
        <v>400</v>
      </c>
      <c r="H2" s="169" t="s">
        <v>401</v>
      </c>
    </row>
    <row r="3" spans="1:8" x14ac:dyDescent="0.25">
      <c r="G3" s="169" t="s">
        <v>402</v>
      </c>
      <c r="H3" s="169">
        <v>0</v>
      </c>
    </row>
    <row r="4" spans="1:8" x14ac:dyDescent="0.25">
      <c r="A4" s="170">
        <v>2141</v>
      </c>
      <c r="B4" s="172">
        <v>43100</v>
      </c>
      <c r="C4" s="170" t="s">
        <v>403</v>
      </c>
      <c r="D4" s="170" t="s">
        <v>404</v>
      </c>
      <c r="E4" s="170" t="s">
        <v>405</v>
      </c>
      <c r="G4" s="171">
        <v>93231129.744399995</v>
      </c>
    </row>
    <row r="5" spans="1:8" x14ac:dyDescent="0.25">
      <c r="A5" s="170">
        <v>2292</v>
      </c>
      <c r="B5" s="172">
        <v>43100</v>
      </c>
      <c r="C5" s="170" t="s">
        <v>403</v>
      </c>
      <c r="D5" s="170" t="s">
        <v>406</v>
      </c>
      <c r="E5" s="170" t="s">
        <v>405</v>
      </c>
      <c r="G5" s="171">
        <v>16722000</v>
      </c>
    </row>
    <row r="6" spans="1:8" s="173" customFormat="1" x14ac:dyDescent="0.25">
      <c r="B6" s="174"/>
      <c r="F6" s="175">
        <f>SUM(F4:F5)</f>
        <v>0</v>
      </c>
      <c r="G6" s="175">
        <f>SUM(G4:G5)</f>
        <v>109953129.74439999</v>
      </c>
      <c r="H6" s="175"/>
    </row>
    <row r="7" spans="1:8" x14ac:dyDescent="0.25">
      <c r="A7" s="170">
        <v>2750</v>
      </c>
      <c r="B7" s="172">
        <v>43190</v>
      </c>
      <c r="C7" s="170" t="s">
        <v>403</v>
      </c>
      <c r="D7" s="170" t="s">
        <v>407</v>
      </c>
      <c r="E7" s="170" t="s">
        <v>405</v>
      </c>
      <c r="F7" s="171">
        <v>18340254</v>
      </c>
    </row>
    <row r="8" spans="1:8" x14ac:dyDescent="0.25">
      <c r="A8" s="170">
        <v>3195</v>
      </c>
      <c r="B8" s="172">
        <v>43210</v>
      </c>
      <c r="C8" s="170" t="s">
        <v>403</v>
      </c>
      <c r="D8" s="170" t="s">
        <v>408</v>
      </c>
      <c r="E8" s="170" t="s">
        <v>409</v>
      </c>
      <c r="F8" s="171">
        <v>10519706.949999999</v>
      </c>
    </row>
    <row r="9" spans="1:8" x14ac:dyDescent="0.25">
      <c r="A9" s="170">
        <v>3197</v>
      </c>
      <c r="B9" s="172">
        <v>43213</v>
      </c>
      <c r="C9" s="170" t="s">
        <v>403</v>
      </c>
      <c r="D9" s="170" t="s">
        <v>410</v>
      </c>
      <c r="E9" s="170" t="s">
        <v>409</v>
      </c>
      <c r="F9" s="171">
        <v>4777513.24</v>
      </c>
    </row>
    <row r="10" spans="1:8" x14ac:dyDescent="0.25">
      <c r="A10" s="170">
        <v>3200</v>
      </c>
      <c r="B10" s="172">
        <v>43214</v>
      </c>
      <c r="C10" s="170" t="s">
        <v>403</v>
      </c>
      <c r="D10" s="170" t="s">
        <v>411</v>
      </c>
      <c r="E10" s="170" t="s">
        <v>409</v>
      </c>
      <c r="F10" s="171">
        <v>6192008.1299999999</v>
      </c>
    </row>
    <row r="11" spans="1:8" x14ac:dyDescent="0.25">
      <c r="A11" s="170">
        <v>3201</v>
      </c>
      <c r="B11" s="172">
        <v>43215</v>
      </c>
      <c r="C11" s="170" t="s">
        <v>403</v>
      </c>
      <c r="D11" s="170" t="s">
        <v>412</v>
      </c>
      <c r="E11" s="170" t="s">
        <v>409</v>
      </c>
      <c r="F11" s="171">
        <v>6655942.29</v>
      </c>
    </row>
    <row r="12" spans="1:8" x14ac:dyDescent="0.25">
      <c r="A12" s="170">
        <v>3203</v>
      </c>
      <c r="B12" s="172">
        <v>43216</v>
      </c>
      <c r="C12" s="170" t="s">
        <v>403</v>
      </c>
      <c r="D12" s="170" t="s">
        <v>413</v>
      </c>
      <c r="E12" s="170" t="s">
        <v>409</v>
      </c>
      <c r="F12" s="171">
        <v>24309141.129999999</v>
      </c>
    </row>
    <row r="13" spans="1:8" x14ac:dyDescent="0.25">
      <c r="A13" s="170">
        <v>3204</v>
      </c>
      <c r="B13" s="172">
        <v>43217</v>
      </c>
      <c r="C13" s="170" t="s">
        <v>403</v>
      </c>
      <c r="D13" s="170" t="s">
        <v>414</v>
      </c>
      <c r="E13" s="170" t="s">
        <v>409</v>
      </c>
      <c r="F13" s="171">
        <v>26031748.82</v>
      </c>
    </row>
    <row r="14" spans="1:8" x14ac:dyDescent="0.25">
      <c r="A14" s="170">
        <v>3207</v>
      </c>
      <c r="B14" s="172">
        <v>43220</v>
      </c>
      <c r="C14" s="170" t="s">
        <v>403</v>
      </c>
      <c r="D14" s="170" t="s">
        <v>415</v>
      </c>
      <c r="E14" s="170" t="s">
        <v>409</v>
      </c>
      <c r="F14" s="171">
        <v>3272752.89</v>
      </c>
    </row>
    <row r="15" spans="1:8" x14ac:dyDescent="0.25">
      <c r="A15" s="170">
        <v>3215</v>
      </c>
      <c r="B15" s="172">
        <v>43220</v>
      </c>
      <c r="C15" s="170" t="s">
        <v>403</v>
      </c>
      <c r="D15" s="170" t="s">
        <v>416</v>
      </c>
      <c r="E15" s="170" t="s">
        <v>405</v>
      </c>
      <c r="F15" s="171">
        <v>158282.1</v>
      </c>
    </row>
    <row r="16" spans="1:8" x14ac:dyDescent="0.25">
      <c r="A16" s="170">
        <v>3216</v>
      </c>
      <c r="B16" s="172">
        <v>43251</v>
      </c>
      <c r="C16" s="170" t="s">
        <v>403</v>
      </c>
      <c r="D16" s="170" t="s">
        <v>417</v>
      </c>
      <c r="E16" s="170" t="s">
        <v>405</v>
      </c>
      <c r="F16" s="171">
        <v>3517380</v>
      </c>
    </row>
    <row r="17" spans="1:8" x14ac:dyDescent="0.25">
      <c r="A17" s="170">
        <v>3402</v>
      </c>
      <c r="B17" s="172">
        <v>43281</v>
      </c>
      <c r="C17" s="170" t="s">
        <v>403</v>
      </c>
      <c r="D17" s="170" t="s">
        <v>418</v>
      </c>
      <c r="E17" s="170" t="s">
        <v>405</v>
      </c>
      <c r="F17" s="171">
        <v>175869</v>
      </c>
    </row>
    <row r="18" spans="1:8" x14ac:dyDescent="0.25">
      <c r="A18" s="170">
        <v>3662</v>
      </c>
      <c r="B18" s="172">
        <v>43312</v>
      </c>
      <c r="C18" s="170" t="s">
        <v>403</v>
      </c>
      <c r="D18" s="170" t="s">
        <v>419</v>
      </c>
      <c r="E18" s="170" t="s">
        <v>405</v>
      </c>
      <c r="G18" s="171">
        <v>1334410.2</v>
      </c>
    </row>
    <row r="19" spans="1:8" x14ac:dyDescent="0.25">
      <c r="A19" s="170">
        <v>3881</v>
      </c>
      <c r="B19" s="172">
        <v>43343</v>
      </c>
      <c r="C19" s="170" t="s">
        <v>403</v>
      </c>
      <c r="D19" s="170" t="s">
        <v>420</v>
      </c>
      <c r="E19" s="170" t="s">
        <v>405</v>
      </c>
      <c r="F19" s="171">
        <v>1828636.2</v>
      </c>
    </row>
    <row r="20" spans="1:8" x14ac:dyDescent="0.25">
      <c r="A20" s="170">
        <v>4235</v>
      </c>
      <c r="B20" s="172">
        <v>43373</v>
      </c>
      <c r="C20" s="170" t="s">
        <v>403</v>
      </c>
      <c r="D20" s="170" t="s">
        <v>421</v>
      </c>
      <c r="E20" s="170" t="s">
        <v>409</v>
      </c>
      <c r="F20" s="171">
        <v>3502148.22</v>
      </c>
    </row>
    <row r="21" spans="1:8" x14ac:dyDescent="0.25">
      <c r="A21" s="170">
        <v>4237</v>
      </c>
      <c r="B21" s="172">
        <v>43373</v>
      </c>
      <c r="C21" s="170" t="s">
        <v>403</v>
      </c>
      <c r="D21" s="170" t="s">
        <v>422</v>
      </c>
      <c r="E21" s="170" t="s">
        <v>405</v>
      </c>
      <c r="G21" s="171">
        <v>1800000</v>
      </c>
    </row>
    <row r="22" spans="1:8" x14ac:dyDescent="0.25">
      <c r="A22" s="170">
        <v>4498</v>
      </c>
      <c r="B22" s="172">
        <v>43404</v>
      </c>
      <c r="C22" s="170" t="s">
        <v>403</v>
      </c>
      <c r="D22" s="170" t="s">
        <v>423</v>
      </c>
      <c r="E22" s="170" t="s">
        <v>405</v>
      </c>
      <c r="F22" s="171">
        <v>531000</v>
      </c>
    </row>
    <row r="23" spans="1:8" s="173" customFormat="1" x14ac:dyDescent="0.25">
      <c r="B23" s="174"/>
      <c r="F23" s="175">
        <f>SUM(F7:F22)</f>
        <v>109812382.97</v>
      </c>
      <c r="G23" s="175">
        <f>SUM(G7:G22)</f>
        <v>3134410.2</v>
      </c>
      <c r="H23" s="175"/>
    </row>
    <row r="24" spans="1:8" s="173" customFormat="1" x14ac:dyDescent="0.25">
      <c r="F24" s="176"/>
      <c r="G24" s="176">
        <f>+G6+G23-F23</f>
        <v>3275156.9743999988</v>
      </c>
      <c r="H24" s="176">
        <v>0</v>
      </c>
    </row>
  </sheetData>
  <pageMargins left="0.7" right="0.7" top="0.75" bottom="0.75" header="0.3" footer="0.3"/>
  <ignoredErrors>
    <ignoredError sqref="G2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B1" workbookViewId="0">
      <selection activeCell="E29" sqref="E29"/>
    </sheetView>
  </sheetViews>
  <sheetFormatPr defaultColWidth="11.44140625" defaultRowHeight="12" x14ac:dyDescent="0.25"/>
  <cols>
    <col min="1" max="1" width="19" style="170" bestFit="1" customWidth="1"/>
    <col min="2" max="2" width="13.6640625" style="170" bestFit="1" customWidth="1"/>
    <col min="3" max="3" width="16.33203125" style="170" bestFit="1" customWidth="1"/>
    <col min="4" max="4" width="78.6640625" style="170" bestFit="1" customWidth="1"/>
    <col min="5" max="5" width="44.5546875" style="170" bestFit="1" customWidth="1"/>
    <col min="6" max="6" width="12" style="171" bestFit="1" customWidth="1"/>
    <col min="7" max="7" width="12.33203125" style="171" bestFit="1" customWidth="1"/>
    <col min="8" max="8" width="12" style="171" bestFit="1" customWidth="1"/>
    <col min="9" max="16384" width="11.44140625" style="170"/>
  </cols>
  <sheetData>
    <row r="1" spans="1:8" ht="36" x14ac:dyDescent="0.25">
      <c r="A1" s="168" t="s">
        <v>424</v>
      </c>
      <c r="B1" s="168"/>
      <c r="C1" s="168"/>
      <c r="D1" s="168"/>
      <c r="E1" s="168"/>
      <c r="F1" s="169"/>
      <c r="G1" s="169" t="s">
        <v>393</v>
      </c>
      <c r="H1" s="169"/>
    </row>
    <row r="2" spans="1:8" x14ac:dyDescent="0.25">
      <c r="A2" s="168" t="s">
        <v>394</v>
      </c>
      <c r="B2" s="168" t="s">
        <v>395</v>
      </c>
      <c r="C2" s="168" t="s">
        <v>396</v>
      </c>
      <c r="D2" s="168" t="s">
        <v>397</v>
      </c>
      <c r="E2" s="168" t="s">
        <v>398</v>
      </c>
      <c r="F2" s="169" t="s">
        <v>399</v>
      </c>
      <c r="G2" s="169" t="s">
        <v>400</v>
      </c>
      <c r="H2" s="169" t="s">
        <v>401</v>
      </c>
    </row>
    <row r="3" spans="1:8" x14ac:dyDescent="0.25">
      <c r="G3" s="169" t="s">
        <v>402</v>
      </c>
      <c r="H3" s="169">
        <v>0</v>
      </c>
    </row>
    <row r="4" spans="1:8" x14ac:dyDescent="0.25">
      <c r="A4" s="170">
        <v>2141</v>
      </c>
      <c r="B4" s="172">
        <v>43100</v>
      </c>
      <c r="C4" s="170" t="s">
        <v>403</v>
      </c>
      <c r="D4" s="170" t="s">
        <v>404</v>
      </c>
      <c r="E4" s="170" t="s">
        <v>405</v>
      </c>
      <c r="G4" s="171">
        <v>10359014.4156</v>
      </c>
      <c r="H4" s="171">
        <v>10359014.4156</v>
      </c>
    </row>
    <row r="5" spans="1:8" x14ac:dyDescent="0.25">
      <c r="A5" s="170">
        <v>2292</v>
      </c>
      <c r="B5" s="172">
        <v>43100</v>
      </c>
      <c r="C5" s="170" t="s">
        <v>403</v>
      </c>
      <c r="D5" s="170" t="s">
        <v>406</v>
      </c>
      <c r="E5" s="170" t="s">
        <v>405</v>
      </c>
      <c r="G5" s="171">
        <v>1858000</v>
      </c>
      <c r="H5" s="171">
        <v>12217014.4156</v>
      </c>
    </row>
    <row r="6" spans="1:8" s="173" customFormat="1" x14ac:dyDescent="0.25">
      <c r="B6" s="174"/>
      <c r="F6" s="175">
        <f>SUM(F4:F5)</f>
        <v>0</v>
      </c>
      <c r="G6" s="175">
        <f>SUM(G4:G5)</f>
        <v>12217014.4156</v>
      </c>
      <c r="H6" s="175"/>
    </row>
    <row r="7" spans="1:8" x14ac:dyDescent="0.25">
      <c r="B7" s="172"/>
    </row>
    <row r="8" spans="1:8" x14ac:dyDescent="0.25">
      <c r="A8" s="170">
        <v>2750</v>
      </c>
      <c r="B8" s="172">
        <v>43190</v>
      </c>
      <c r="C8" s="170" t="s">
        <v>403</v>
      </c>
      <c r="D8" s="170" t="s">
        <v>407</v>
      </c>
      <c r="E8" s="170" t="s">
        <v>405</v>
      </c>
      <c r="F8" s="171">
        <v>2037806</v>
      </c>
      <c r="H8" s="171">
        <v>10179208.4156</v>
      </c>
    </row>
    <row r="9" spans="1:8" x14ac:dyDescent="0.25">
      <c r="A9" s="170">
        <v>3195</v>
      </c>
      <c r="B9" s="172">
        <v>43210</v>
      </c>
      <c r="C9" s="170" t="s">
        <v>403</v>
      </c>
      <c r="D9" s="170" t="s">
        <v>408</v>
      </c>
      <c r="E9" s="170" t="s">
        <v>409</v>
      </c>
      <c r="F9" s="171">
        <v>1168856.33</v>
      </c>
      <c r="H9" s="171">
        <v>9010352.0855999999</v>
      </c>
    </row>
    <row r="10" spans="1:8" x14ac:dyDescent="0.25">
      <c r="A10" s="170">
        <v>3197</v>
      </c>
      <c r="B10" s="172">
        <v>43213</v>
      </c>
      <c r="C10" s="170" t="s">
        <v>403</v>
      </c>
      <c r="D10" s="170" t="s">
        <v>410</v>
      </c>
      <c r="E10" s="170" t="s">
        <v>409</v>
      </c>
      <c r="F10" s="171">
        <v>530834.80000000005</v>
      </c>
      <c r="H10" s="171">
        <v>8479517.2855999991</v>
      </c>
    </row>
    <row r="11" spans="1:8" x14ac:dyDescent="0.25">
      <c r="A11" s="170">
        <v>3200</v>
      </c>
      <c r="B11" s="172">
        <v>43214</v>
      </c>
      <c r="C11" s="170" t="s">
        <v>403</v>
      </c>
      <c r="D11" s="170" t="s">
        <v>411</v>
      </c>
      <c r="E11" s="170" t="s">
        <v>409</v>
      </c>
      <c r="F11" s="171">
        <v>688000.9</v>
      </c>
      <c r="H11" s="171">
        <v>7791516.3855999997</v>
      </c>
    </row>
    <row r="12" spans="1:8" x14ac:dyDescent="0.25">
      <c r="A12" s="170">
        <v>3201</v>
      </c>
      <c r="B12" s="172">
        <v>43215</v>
      </c>
      <c r="C12" s="170" t="s">
        <v>403</v>
      </c>
      <c r="D12" s="170" t="s">
        <v>412</v>
      </c>
      <c r="E12" s="170" t="s">
        <v>409</v>
      </c>
      <c r="F12" s="171">
        <v>739549.14</v>
      </c>
      <c r="H12" s="171">
        <v>7051967.2456</v>
      </c>
    </row>
    <row r="13" spans="1:8" x14ac:dyDescent="0.25">
      <c r="A13" s="170">
        <v>3203</v>
      </c>
      <c r="B13" s="172">
        <v>43216</v>
      </c>
      <c r="C13" s="170" t="s">
        <v>403</v>
      </c>
      <c r="D13" s="170" t="s">
        <v>413</v>
      </c>
      <c r="E13" s="170" t="s">
        <v>409</v>
      </c>
      <c r="F13" s="171">
        <v>2701015.68</v>
      </c>
      <c r="H13" s="171">
        <v>4350951.5656000003</v>
      </c>
    </row>
    <row r="14" spans="1:8" x14ac:dyDescent="0.25">
      <c r="A14" s="170">
        <v>3204</v>
      </c>
      <c r="B14" s="172">
        <v>43217</v>
      </c>
      <c r="C14" s="170" t="s">
        <v>403</v>
      </c>
      <c r="D14" s="170" t="s">
        <v>414</v>
      </c>
      <c r="E14" s="170" t="s">
        <v>409</v>
      </c>
      <c r="F14" s="171">
        <v>2892416.54</v>
      </c>
      <c r="H14" s="171">
        <v>1458535.0256000001</v>
      </c>
    </row>
    <row r="15" spans="1:8" x14ac:dyDescent="0.25">
      <c r="A15" s="170">
        <v>3207</v>
      </c>
      <c r="B15" s="172">
        <v>43220</v>
      </c>
      <c r="C15" s="170" t="s">
        <v>403</v>
      </c>
      <c r="D15" s="170" t="s">
        <v>415</v>
      </c>
      <c r="E15" s="170" t="s">
        <v>409</v>
      </c>
      <c r="F15" s="171">
        <v>363639.21</v>
      </c>
      <c r="H15" s="171">
        <v>1094895.8156000001</v>
      </c>
    </row>
    <row r="16" spans="1:8" x14ac:dyDescent="0.25">
      <c r="A16" s="170">
        <v>3215</v>
      </c>
      <c r="B16" s="172">
        <v>43220</v>
      </c>
      <c r="C16" s="170" t="s">
        <v>403</v>
      </c>
      <c r="D16" s="170" t="s">
        <v>416</v>
      </c>
      <c r="E16" s="170" t="s">
        <v>405</v>
      </c>
      <c r="F16" s="171">
        <v>17586.900000000001</v>
      </c>
      <c r="H16" s="171">
        <v>1077308.9155999999</v>
      </c>
    </row>
    <row r="17" spans="1:8" x14ac:dyDescent="0.25">
      <c r="A17" s="170">
        <v>3216</v>
      </c>
      <c r="B17" s="172">
        <v>43251</v>
      </c>
      <c r="C17" s="170" t="s">
        <v>403</v>
      </c>
      <c r="D17" s="170" t="s">
        <v>417</v>
      </c>
      <c r="E17" s="170" t="s">
        <v>405</v>
      </c>
      <c r="F17" s="171">
        <v>390820</v>
      </c>
      <c r="H17" s="171">
        <v>686488.91559999995</v>
      </c>
    </row>
    <row r="18" spans="1:8" x14ac:dyDescent="0.25">
      <c r="A18" s="170">
        <v>3402</v>
      </c>
      <c r="B18" s="172">
        <v>43281</v>
      </c>
      <c r="C18" s="170" t="s">
        <v>403</v>
      </c>
      <c r="D18" s="170" t="s">
        <v>418</v>
      </c>
      <c r="E18" s="170" t="s">
        <v>405</v>
      </c>
      <c r="F18" s="171">
        <v>19541</v>
      </c>
      <c r="H18" s="171">
        <v>666947.91559999995</v>
      </c>
    </row>
    <row r="19" spans="1:8" x14ac:dyDescent="0.25">
      <c r="A19" s="170">
        <v>3662</v>
      </c>
      <c r="B19" s="172">
        <v>43312</v>
      </c>
      <c r="C19" s="170" t="s">
        <v>403</v>
      </c>
      <c r="D19" s="170" t="s">
        <v>419</v>
      </c>
      <c r="E19" s="170" t="s">
        <v>405</v>
      </c>
      <c r="G19" s="171">
        <v>148267.79999999999</v>
      </c>
      <c r="H19" s="171">
        <v>815215.7156</v>
      </c>
    </row>
    <row r="20" spans="1:8" x14ac:dyDescent="0.25">
      <c r="A20" s="170">
        <v>3881</v>
      </c>
      <c r="B20" s="172">
        <v>43343</v>
      </c>
      <c r="C20" s="170" t="s">
        <v>403</v>
      </c>
      <c r="D20" s="170" t="s">
        <v>420</v>
      </c>
      <c r="E20" s="170" t="s">
        <v>405</v>
      </c>
      <c r="F20" s="171">
        <v>203181.8</v>
      </c>
      <c r="H20" s="171">
        <v>612033.91559999995</v>
      </c>
    </row>
    <row r="21" spans="1:8" x14ac:dyDescent="0.25">
      <c r="A21" s="170">
        <v>4235</v>
      </c>
      <c r="B21" s="172">
        <v>43373</v>
      </c>
      <c r="C21" s="170" t="s">
        <v>403</v>
      </c>
      <c r="D21" s="170" t="s">
        <v>421</v>
      </c>
      <c r="E21" s="170" t="s">
        <v>409</v>
      </c>
      <c r="F21" s="171">
        <v>389127.58</v>
      </c>
      <c r="H21" s="171">
        <v>222906.33559999999</v>
      </c>
    </row>
    <row r="22" spans="1:8" x14ac:dyDescent="0.25">
      <c r="A22" s="170">
        <v>4237</v>
      </c>
      <c r="B22" s="172">
        <v>43373</v>
      </c>
      <c r="C22" s="170" t="s">
        <v>403</v>
      </c>
      <c r="D22" s="170" t="s">
        <v>422</v>
      </c>
      <c r="E22" s="170" t="s">
        <v>405</v>
      </c>
      <c r="G22" s="171">
        <v>200000</v>
      </c>
      <c r="H22" s="171">
        <v>422906.33559999999</v>
      </c>
    </row>
    <row r="23" spans="1:8" x14ac:dyDescent="0.25">
      <c r="A23" s="170">
        <v>4498</v>
      </c>
      <c r="B23" s="172">
        <v>43404</v>
      </c>
      <c r="C23" s="170" t="s">
        <v>403</v>
      </c>
      <c r="D23" s="170" t="s">
        <v>423</v>
      </c>
      <c r="E23" s="170" t="s">
        <v>405</v>
      </c>
      <c r="F23" s="171">
        <v>59000</v>
      </c>
      <c r="H23" s="171">
        <v>363906.33559999999</v>
      </c>
    </row>
    <row r="24" spans="1:8" s="173" customFormat="1" x14ac:dyDescent="0.25">
      <c r="F24" s="176">
        <v>12201375.880000001</v>
      </c>
      <c r="G24" s="176">
        <v>12565282.215600001</v>
      </c>
      <c r="H24" s="176">
        <v>363906.33559999999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BS &amp; IS </vt:lpstr>
      <vt:lpstr>final-ME</vt:lpstr>
      <vt:lpstr>merge-KH</vt:lpstr>
      <vt:lpstr>BS</vt:lpstr>
      <vt:lpstr>IS</vt:lpstr>
      <vt:lpstr>EQ</vt:lpstr>
      <vt:lpstr>CF</vt:lpstr>
      <vt:lpstr>JIV</vt:lpstr>
      <vt:lpstr>JIV-</vt:lpstr>
      <vt:lpstr>BS!Print_Area</vt:lpstr>
      <vt:lpstr>EQ!Print_Area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Selenge G</dc:creator>
  <cp:lastModifiedBy>enhsaruul g</cp:lastModifiedBy>
  <cp:lastPrinted>2019-07-10T01:09:59Z</cp:lastPrinted>
  <dcterms:created xsi:type="dcterms:W3CDTF">2018-12-11T09:06:20Z</dcterms:created>
  <dcterms:modified xsi:type="dcterms:W3CDTF">2019-07-10T01:14:46Z</dcterms:modified>
  <cp:contentStatus/>
</cp:coreProperties>
</file>