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648" activeTab="3"/>
  </bookViews>
  <sheets>
    <sheet name="СБД" sheetId="1" r:id="rId1"/>
    <sheet name="ОДТ" sheetId="2" r:id="rId2"/>
    <sheet name="ӨӨТ" sheetId="3" r:id="rId3"/>
    <sheet name="МГТ" sheetId="4" r:id="rId4"/>
    <sheet name="cash flow audit" sheetId="5" state="hidden" r:id="rId5"/>
    <sheet name="1" sheetId="6" state="hidden" r:id="rId6"/>
    <sheet name="2" sheetId="7" state="hidden" r:id="rId7"/>
    <sheet name="3-6" sheetId="8" state="hidden" r:id="rId8"/>
    <sheet name="7-12" sheetId="9" state="hidden" r:id="rId9"/>
    <sheet name="13-16" sheetId="10" state="hidden" r:id="rId10"/>
    <sheet name="17-21" sheetId="11" state="hidden" r:id="rId11"/>
    <sheet name="22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5">'1'!$A$1:$K$48</definedName>
    <definedName name="_xlnm.Print_Area" localSheetId="9">'13-16'!$A$1:$H$55</definedName>
    <definedName name="_xlnm.Print_Area" localSheetId="10">'17-21'!$A$1:$F$45</definedName>
    <definedName name="_xlnm.Print_Area" localSheetId="6">'2'!$A$1:$L$36</definedName>
    <definedName name="_xlnm.Print_Area" localSheetId="11">'22'!$A$1:$D$25</definedName>
    <definedName name="_xlnm.Print_Area" localSheetId="7">'3-6'!$A$1:$H$62</definedName>
    <definedName name="_xlnm.Print_Area" localSheetId="8">'7-12'!$A$1:$H$51</definedName>
    <definedName name="_xlnm.Print_Area" localSheetId="3">'МГТ'!$A$1:$C$67</definedName>
    <definedName name="_xlnm.Print_Area" localSheetId="1">'ОДТ'!$A$1:$B$115</definedName>
    <definedName name="_xlnm.Print_Area" localSheetId="2">'ӨӨТ'!$A$1:$G$32</definedName>
    <definedName name="_xlnm.Print_Area" localSheetId="0">'СБД'!$A$1:$C$153</definedName>
  </definedNames>
  <calcPr fullCalcOnLoad="1"/>
</workbook>
</file>

<file path=xl/comments1.xml><?xml version="1.0" encoding="utf-8"?>
<comments xmlns="http://schemas.openxmlformats.org/spreadsheetml/2006/main">
  <authors>
    <author>Tseegii Haltar</author>
  </authors>
  <commentList>
    <comment ref="C123" authorId="0">
      <text>
        <r>
          <rPr>
            <b/>
            <sz val="9"/>
            <rFont val="Tahoma"/>
            <family val="2"/>
          </rPr>
          <t>Tseegii Haltar:</t>
        </r>
        <r>
          <rPr>
            <sz val="9"/>
            <rFont val="Tahoma"/>
            <family val="2"/>
          </rPr>
          <t xml:space="preserve">
55.3 ХТӨглөг+ААНОАТ өглөг 257</t>
        </r>
      </text>
    </comment>
  </commentList>
</comments>
</file>

<file path=xl/comments5.xml><?xml version="1.0" encoding="utf-8"?>
<comments xmlns="http://schemas.openxmlformats.org/spreadsheetml/2006/main">
  <authors>
    <author>Tseegii Haltar</author>
  </authors>
  <commentList>
    <comment ref="F87" authorId="0">
      <text>
        <r>
          <rPr>
            <b/>
            <sz val="9"/>
            <rFont val="Tahoma"/>
            <family val="2"/>
          </rPr>
          <t>Tseegii Haltar:</t>
        </r>
        <r>
          <rPr>
            <sz val="9"/>
            <rFont val="Tahoma"/>
            <family val="2"/>
          </rPr>
          <t xml:space="preserve">
crowd</t>
        </r>
      </text>
    </comment>
    <comment ref="F46" authorId="0">
      <text>
        <r>
          <rPr>
            <b/>
            <sz val="9"/>
            <rFont val="Tahoma"/>
            <family val="2"/>
          </rPr>
          <t>Tseegii Haltar:</t>
        </r>
        <r>
          <rPr>
            <sz val="9"/>
            <rFont val="Tahoma"/>
            <family val="2"/>
          </rPr>
          <t xml:space="preserve">
euro jiro olgoson dun</t>
        </r>
      </text>
    </comment>
    <comment ref="H22" authorId="0">
      <text>
        <r>
          <rPr>
            <b/>
            <sz val="9"/>
            <rFont val="Tahoma"/>
            <family val="2"/>
          </rPr>
          <t>Tseegii Haltar:</t>
        </r>
        <r>
          <rPr>
            <sz val="9"/>
            <rFont val="Tahoma"/>
            <family val="2"/>
          </rPr>
          <t xml:space="preserve">
tentseliin gaduurhi
</t>
        </r>
      </text>
    </comment>
    <comment ref="E94" authorId="0">
      <text>
        <r>
          <rPr>
            <b/>
            <sz val="9"/>
            <rFont val="Tahoma"/>
            <family val="2"/>
          </rPr>
          <t>Tseegii Haltar: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<sst xmlns="http://schemas.openxmlformats.org/spreadsheetml/2006/main" count="887" uniqueCount="593">
  <si>
    <t>Үзүүлэлт</t>
  </si>
  <si>
    <t>Эхний үлдэгдэл</t>
  </si>
  <si>
    <t>Эцсийн үлдэгдэл</t>
  </si>
  <si>
    <t/>
  </si>
  <si>
    <t>Ногдол ашиг</t>
  </si>
  <si>
    <t>ХӨРӨНГӨ</t>
  </si>
  <si>
    <t>ЭРГЭЛТИЙН ХӨРӨНГӨ</t>
  </si>
  <si>
    <t>ЭРГЭЛТИЙН БУС ХӨРӨНГӨ</t>
  </si>
  <si>
    <t>ӨР ТӨЛБӨР</t>
  </si>
  <si>
    <t>ЭЗЭМШИГЧДИЙН ӨМЧ</t>
  </si>
  <si>
    <t>МӨНГӨН ГҮЙЛГЭЭНИЙ ТАЙЛАН</t>
  </si>
  <si>
    <t>ӨМЧИЙН ӨӨРЧЛӨЛТИЙН ТАЙЛАН</t>
  </si>
  <si>
    <t>Хувьцаат капитал</t>
  </si>
  <si>
    <t>Нэмж төлөгдсөн капитал</t>
  </si>
  <si>
    <t>Дахин үнэлгээний нөөц</t>
  </si>
  <si>
    <t>Гадаад валютын хөрвүүлэлтийн нөөц</t>
  </si>
  <si>
    <t>Хуримтлагдсан ашиг</t>
  </si>
  <si>
    <t>Нийт дүн</t>
  </si>
  <si>
    <t>Бүртгэлийн бодлогын өөрчлөлт</t>
  </si>
  <si>
    <t>Залруулсан  үлдэгдэл</t>
  </si>
  <si>
    <t>Үндсэн хөрөнгийн дахин үнэлгээний өсөлт / бууралт</t>
  </si>
  <si>
    <t>Хөрөнгө оруулалтын дахин үнэлгээний өсөлт / бууралт</t>
  </si>
  <si>
    <t>Гадаад валютын хөрвүүлэлтийн зөрүү</t>
  </si>
  <si>
    <t>Орлогын тайланд хүлээн зөвшөөрөөгүй олз, гарз</t>
  </si>
  <si>
    <t>Тайлант үеийн цэвэр ашиг</t>
  </si>
  <si>
    <t>Хувьцаат капиталын өсөлт</t>
  </si>
  <si>
    <t>(Аж ахуйн нэгж, байгууллагын нэр )</t>
  </si>
  <si>
    <t>ЕРӨНХИЙ НЯГТЛАН БОДОГЧ</t>
  </si>
  <si>
    <t>1 Мөнгөн хөрөнгө</t>
  </si>
  <si>
    <t>1.1 Бэлэн мөнгө</t>
  </si>
  <si>
    <t>1.2 Банк, санхүүгийн байгууллагад байршуулсан харилцах</t>
  </si>
  <si>
    <t>1.3 Банк, санхүүгийн байгууллагад байршуулсан хадгаламж</t>
  </si>
  <si>
    <t>2 Богино хугацаат хөрөнгө оруулалт /цэврээр/</t>
  </si>
  <si>
    <t>2.1 Үнэт цаас</t>
  </si>
  <si>
    <t>2.2 Арилжааны үнэт цаас</t>
  </si>
  <si>
    <t>2.3 Богино хугацаат хөрөнгө оруулалтын үнэт цаас</t>
  </si>
  <si>
    <t>2.4 (Хөрөнгө оруулалтын үнэт цаасны эрсдэлийн сан)</t>
  </si>
  <si>
    <t>3 Зээл /цэврээр/</t>
  </si>
  <si>
    <t>3.1 Нийт зээл</t>
  </si>
  <si>
    <t>3.1.1 Хэвийн зээл</t>
  </si>
  <si>
    <t>3.1.2 Хугацаа хэтэрсэн зээл</t>
  </si>
  <si>
    <t>3.1.3 Чанаргүй зээл</t>
  </si>
  <si>
    <t>3.1.3.1 Хэвийн бус зээл</t>
  </si>
  <si>
    <t>3.1.3.2 Эргэлзээтэй зээл</t>
  </si>
  <si>
    <t>3.1.3.3 Муу зээл</t>
  </si>
  <si>
    <t>3.1.4 (Зээлийн эрсдэлийн сан)</t>
  </si>
  <si>
    <t>4 Санхүүгийн түрээсийн тооцооны авлага /цэврээр/</t>
  </si>
  <si>
    <t>4.1 Нийт санхүүгийн түрээсийн тооцооны авлага/төгрөгийн/</t>
  </si>
  <si>
    <t>4.1.1 Хэвийн санхүүгийн түрээсийн тооцооны авлага</t>
  </si>
  <si>
    <t>4.1.2 Хугацаа хэтэрсэн санхүүгийн түрээсийн тооцооны авлага</t>
  </si>
  <si>
    <t>4.1.3 Чанаргүй санхүүгийн түрээсийн тооцооны авлага</t>
  </si>
  <si>
    <t>4.1.3.1 Хэвийн бус санхүүгийн түрээсийн тооцооны авлага</t>
  </si>
  <si>
    <t>4.1.3.2 Эргэлзээтэй санхүүгийн түрээсийн тооцооны авлага</t>
  </si>
  <si>
    <t>4.1.3.3Муу санхүүгийн түрээс тооцооны авлага</t>
  </si>
  <si>
    <t>4.2 Нийт санхүүгийн түрээсийн тооцооны авлага/валютаар/</t>
  </si>
  <si>
    <t>4.2.1 Хэвийн санхүүгийн түрээсийн тооцооны авлага</t>
  </si>
  <si>
    <t>4.2.2 Хугацаа хэтэрсэн санхүүгийн түрээсийн тооцооны авлага</t>
  </si>
  <si>
    <t>4.2.3 Чанаргүй санхүүгийн түрээсийн тооцооны авлага</t>
  </si>
  <si>
    <t>4.2.3.1 Хэвийн бус санхүүгийн түрээсийн тооцооны авлага</t>
  </si>
  <si>
    <t>4.2.3.2 Эргэлзээтэй санхүүгийн түрээсийн тооцооны авлага</t>
  </si>
  <si>
    <t xml:space="preserve">4.2.3.3 Муу санхүүгийн түрээс тооцооны авлага </t>
  </si>
  <si>
    <t>5 Факторингийн тооцооны авлага /цэврээр/</t>
  </si>
  <si>
    <t>5.1 Факторингийн тооцооны нийт авлага /төгрөгөөр/</t>
  </si>
  <si>
    <t>5.1.1 Хугацаандаа байгаа факторингийн тооцооны авлага</t>
  </si>
  <si>
    <t>5.1.2 Хугацаа хэтэрсэн факторингийн тооцооны авлага</t>
  </si>
  <si>
    <t>5.1.3 Чанаргүй факторингийн тооцооны авлага</t>
  </si>
  <si>
    <t>5.1.3.1 Хэвийн бус факторингийн тооцооны авлага</t>
  </si>
  <si>
    <t>5.1.3.2 Эргэлзээтэй факторингийн тооцооны авлага</t>
  </si>
  <si>
    <t>5.1.3.3 Муу факторингийн тооцооны авлага</t>
  </si>
  <si>
    <t>5.2 Факторингийн тооцооны нийт авлага /валютаар/</t>
  </si>
  <si>
    <t>5.2.1 Хугацаандаа байгаа факторингийн тооцооны авлага</t>
  </si>
  <si>
    <t>5.2.2 Хугацаа хэтэрсэн факторингийн тооцооны авлага</t>
  </si>
  <si>
    <t>5.2.3 Чанаргүй факторингийн тооцооны авлага</t>
  </si>
  <si>
    <t>5.2.3.1 Хэвийн бус факторингийн тооцооны авлага</t>
  </si>
  <si>
    <t>5.2.3.2 Эргэлзээтэй факторингийн тооцооны авлага</t>
  </si>
  <si>
    <t>5.2.3.3 Муу факторингийн тооцооны авлага</t>
  </si>
  <si>
    <t>5.3 (Факторингийн авлагын эрсдэлийн сан)</t>
  </si>
  <si>
    <t>6 Санхүүгийн деривативын авлага</t>
  </si>
  <si>
    <t>7 Бусад авлага</t>
  </si>
  <si>
    <t>7.1 Бусад  авлага</t>
  </si>
  <si>
    <t>7.2 (Найдваргүй авлагын нөөц)</t>
  </si>
  <si>
    <t>7.3 Хуримтлуулж тооцсон хүүгийн авлага</t>
  </si>
  <si>
    <t>7.3.1 Хуримтлуулж тооцсон зээлийн хүүгийн авлага</t>
  </si>
  <si>
    <t>7.3.2 Хуримтлуулж тооцсон санхүүгийн түрээсийн  хүүгийн авлага</t>
  </si>
  <si>
    <t>7.3.3 Хуримтлуулж тооцсон үнэт цаасны хүүгийн  авлага</t>
  </si>
  <si>
    <t>7.3.4 Хуримтлуулж тооцсон  факторингийн хүүгийн  авлага</t>
  </si>
  <si>
    <t>7.4  Салбар хоорондын тооцооны авлага</t>
  </si>
  <si>
    <t>8 Бусад  хөрөнгө</t>
  </si>
  <si>
    <t>8.1 Урьдчилж төлсөн зардал, тооцоо</t>
  </si>
  <si>
    <t>8.2 Өмчлөх бусад үл хөдлөх хөрөнгө</t>
  </si>
  <si>
    <t>8.2.1 Хэвийн өмчлөх бусад үл хөдлөх хөрөнгө</t>
  </si>
  <si>
    <t>8.2.2 Хугацаа хэтэрсэн өмчлөх бусад үл хөдлөх хөрөнгө</t>
  </si>
  <si>
    <t>8.2.3 Чанаргүй өмчлөх бусад үл хөдлөх хөрөнгө</t>
  </si>
  <si>
    <t>8.2.3.1 Хэвийн бус өмчлөх бусад үл хөдлөх хөрөнгө</t>
  </si>
  <si>
    <t>8.2.3.2 Эргэлзээтэй өмчлөх бусад үл хөдлөх хөрөнгө</t>
  </si>
  <si>
    <t>8.2.3.3 Муу өмчлөх бусад үл хөдлөх хөрөнгө</t>
  </si>
  <si>
    <t xml:space="preserve">8.3 (Өмчлөх бусад үл хөдлөх хөрөнгийн эрсдэлийн сан) </t>
  </si>
  <si>
    <t>8.4 Материал, үнэ бүхий зүйлс</t>
  </si>
  <si>
    <t>8.5 Бусад</t>
  </si>
  <si>
    <t>9 Эргэлтийн хөрөнгийн нийт дүн</t>
  </si>
  <si>
    <t>10 Үндсэн хөрөнгө</t>
  </si>
  <si>
    <t>10.1 Барилга байгууламж</t>
  </si>
  <si>
    <t>10.2 Хуримтлагдсан элэгдэл (барилга байгууламж)</t>
  </si>
  <si>
    <t>10.3 Эд хогшил</t>
  </si>
  <si>
    <t>10.4 Хуримтлагдсан элэгдэл (эд хогшил)</t>
  </si>
  <si>
    <t>10.5 Техник хэрэгсэл</t>
  </si>
  <si>
    <t>10.6 Хуримтлагдсан элэгдэл (техник хэрэгсэл)</t>
  </si>
  <si>
    <t>10.7 Дуусаагүй барилга</t>
  </si>
  <si>
    <t>11 Биет бус хөрөнгө</t>
  </si>
  <si>
    <t>11.1 Биет бус хөрөнгө</t>
  </si>
  <si>
    <t>11.2 Элэгдэл (биет бус хөрөнгө)</t>
  </si>
  <si>
    <t>12 Эргэлтийн бус хөрөнгийн дүн</t>
  </si>
  <si>
    <t>13 НИЙТ ХӨРӨНГИЙН ДҮН</t>
  </si>
  <si>
    <t>14.1 Банк, санхүүгийн байгууллагаас авсан богино хугацаат зээл</t>
  </si>
  <si>
    <t>14.2 Банк, санхүүгийн байгууллагаас авсан  богино хугацаат зээлийн хугацаа хэтрэлт</t>
  </si>
  <si>
    <t>14.3 Өрийн бичгээрх өглөг</t>
  </si>
  <si>
    <t>14.4 Санхүүгийн деривативын өглөг</t>
  </si>
  <si>
    <t>14.5 Төслийн зээлийн богино хугацаат санхүүжилт</t>
  </si>
  <si>
    <t>15 Бусад эх үүсвэр</t>
  </si>
  <si>
    <t>15.1 Итгэлцлийн үйлчилгээний өглөг</t>
  </si>
  <si>
    <t>15.2 Факторингийн үйлчилгээний өглөг</t>
  </si>
  <si>
    <t xml:space="preserve">15.3 Мөнгөн гуйвуулгын өглөг </t>
  </si>
  <si>
    <t>15.4 Зээлийн батлан даалтанд байршуулсан эх үүсвэр</t>
  </si>
  <si>
    <t>15.5 Төлбөрийн болон зээлийн картын үйлчилгээтэй холбоотой өглөг</t>
  </si>
  <si>
    <t>16 Бусад  өр төлбөр</t>
  </si>
  <si>
    <t>16.1 Хуримтлуулж тооцсон хүүгийн өглөг</t>
  </si>
  <si>
    <t>16.1.1 Хуримтлуулж тооцсон зээлийн  хүүгийн өглөг</t>
  </si>
  <si>
    <t>16.1.2 Хуримтлуулж тооцсон үнэт цаасны хүүгийн өглөг</t>
  </si>
  <si>
    <t>16.1.3 Хуримтлуулж тооцсон бусад хүүгийн өглөг</t>
  </si>
  <si>
    <t>16.2 Бусад өглөг</t>
  </si>
  <si>
    <t>16.2.1 Салбар хоорондын тооцооны өглөг</t>
  </si>
  <si>
    <t>16.2.2 Ногдол ашгийн өглөг</t>
  </si>
  <si>
    <t>16.2.3 Цалингийн өглөг</t>
  </si>
  <si>
    <t>16.2.4 ЭМД,НДШ-ийн өглөг</t>
  </si>
  <si>
    <t>16.2.5 ХАОАТ-ын өглөг</t>
  </si>
  <si>
    <t>16.2.6 Орлогын албан татварын өглөг</t>
  </si>
  <si>
    <t>16.2.7 Бусад</t>
  </si>
  <si>
    <t>17 Богино хугацаат өр төлбөрийн дүн</t>
  </si>
  <si>
    <t>18.1 Банк, санхүүгийн байгууллагаас авсан урт хугацаат зээл</t>
  </si>
  <si>
    <t>18.2 Банк, санхүүгийн байгууллагаас авсан урт хугацаат зээлийн  хугацаа хэтрэлт</t>
  </si>
  <si>
    <t>18.3 Төслийн зээлийн урт хугацаат санхүүжилт</t>
  </si>
  <si>
    <t>18 Урт  хугацаат өр төлбөрийн дүн</t>
  </si>
  <si>
    <t>19 Нийт өр төлбөрийн дүн</t>
  </si>
  <si>
    <t>20.1 Энгийн хувьцаа</t>
  </si>
  <si>
    <t>20.2 Давуу эрхтэй хувьцаа</t>
  </si>
  <si>
    <t>20.3 Халаасны хувьцаа</t>
  </si>
  <si>
    <t>20 Хувьцаат капиталын дүн</t>
  </si>
  <si>
    <t>21 Бусад өмч</t>
  </si>
  <si>
    <t xml:space="preserve">21.1 Нэмж төлөгдсөн капитал </t>
  </si>
  <si>
    <t>21.2 Хандивын капитал</t>
  </si>
  <si>
    <t>21.3 Дахин үнэлгээний нэмэгдэл</t>
  </si>
  <si>
    <t>21.4 Хоёрдогч өглөг /5 жилээс дээш хугацаатай/</t>
  </si>
  <si>
    <t>21.6 Нөөцийн сан</t>
  </si>
  <si>
    <t>21.7 Нийгмийн хөгжлийн сан</t>
  </si>
  <si>
    <t>22 Эзэмшигчдийн өмчийн дүн</t>
  </si>
  <si>
    <t>23 ӨР ТӨЛБӨР БА ЭЗЭМШИГЧДИЙН ӨМЧИЙН ДҮН</t>
  </si>
  <si>
    <t>БАЛАНС</t>
  </si>
  <si>
    <t>"АРДКРЕДИТ" БАНК БУС САНХҮҮГИЙН БАЙГУУЛЛАГА</t>
  </si>
  <si>
    <t>СТ-1</t>
  </si>
  <si>
    <t>1.1 Хугацаандаа байгаа зээлийн хүүгийн орлого</t>
  </si>
  <si>
    <t>1.2 Хугацаа хэтэрсэн зээлийн хүүгийн орлого</t>
  </si>
  <si>
    <t>1.3 Үнэт цаасны хүүгийн орлого</t>
  </si>
  <si>
    <t>1.4 Хугацаандаа байгаа санхүүгийн түрээсийн хүүгийн орлого</t>
  </si>
  <si>
    <t>1.5 Хугацаа хэтэрсэн санхүүгийн түрээсийн хүүгийн орлого</t>
  </si>
  <si>
    <t>1.6 Хугацаандаа байгаа Факторингийн үйлчилгээний хүүгийн орлого</t>
  </si>
  <si>
    <t xml:space="preserve">1.7 Хугацаа хэтэрсэн Факторингийн үйлчилгээний хүүгийн орлого </t>
  </si>
  <si>
    <t>1.8 Харилцах дансны хүүгийн орлого</t>
  </si>
  <si>
    <t>1.9 Банкин дахь хадгаламжийн хүүгийн орлого</t>
  </si>
  <si>
    <t>1.10 Хүүгийн орлогын буцаалт</t>
  </si>
  <si>
    <t>2.1 Банкны байгууллагаас авсан зээлийн хүүгийн зардал</t>
  </si>
  <si>
    <t>2.2 Бусад санхүүгийн байгууллагаас авсан зээлийн хүүгийн зардал</t>
  </si>
  <si>
    <t>2.3 Төслийн зээлийн санхүүжилтын хүүгийн зардал</t>
  </si>
  <si>
    <t>2.4 Өрийн бичгийн хүүгийн зардал</t>
  </si>
  <si>
    <t>2.5 Хүүгийн зардлын буцаалт</t>
  </si>
  <si>
    <t>1. Хүүгийн орлого</t>
  </si>
  <si>
    <t>2. Хүүгийн зардал</t>
  </si>
  <si>
    <t>3. Цэвэр хүүгийн орлого  (1-2)</t>
  </si>
  <si>
    <t>4. Хүүгийн бус орлого  (4.1+4.2+4.3)</t>
  </si>
  <si>
    <t>4.1. Арилжааны цэвэр орлого (4.1.1+4.1.2)</t>
  </si>
  <si>
    <t>4.1.1 Гадаад валютын арилжааны орлого</t>
  </si>
  <si>
    <t>4.1.2 Үнэт цаасны арилжааны орлого</t>
  </si>
  <si>
    <t>4.2. Ханш болон үнэлгээний тэгшитгэлийн орлого (4.2.1+4.2.2)</t>
  </si>
  <si>
    <t>4.2.1 Гадаад валютын ханшийн тэгшитгэлийн орлого</t>
  </si>
  <si>
    <t>4.3. Санхүүгийн үйлчилгээний шимтгэл (4.3.1+…+4.3.6)</t>
  </si>
  <si>
    <t>4.3.1 Санхүүгийн түрээсийн орлого</t>
  </si>
  <si>
    <t>4.3.2 Итгэлцлийн үйлчилгээний орлого</t>
  </si>
  <si>
    <t>4.3.3 Мөнгөн гуйвуулгын орлого</t>
  </si>
  <si>
    <t>4.3.4 Картын үйлчилгээний орлого</t>
  </si>
  <si>
    <t>4.3.5 Санхүүгийн зөвлөгөө, мэдээлэл өгөх үйлчилгээний орлого</t>
  </si>
  <si>
    <t>4.3.6 Үйлчилгээний хураамж, шимтгэлийн орлого</t>
  </si>
  <si>
    <t>4.3.7 Бусад үйлчилгээ</t>
  </si>
  <si>
    <t>5. Хүүгийн бус зардал (5.1+5.2+5.3)</t>
  </si>
  <si>
    <t>5.1. Арилжаа болон ханшийн тэгшитгэлийн зардал (5.1.1+…+5.1.4)</t>
  </si>
  <si>
    <t xml:space="preserve">5.1.1 Гадаад валютын арилжааны алдагдал </t>
  </si>
  <si>
    <t>5.1.2 Үнэт цаасны арилжааны алдагдал</t>
  </si>
  <si>
    <t>5.1.3 Гадаад валютын ханшийн тэгшитгэлийн зардал</t>
  </si>
  <si>
    <t>5.1.4 Үнэт цаасны үнэлгээний тэгшитгэлийн зардал</t>
  </si>
  <si>
    <t>5.2. Боловсон хүчний холбогдолтой зардал (5.2.1+..+5.2.10)</t>
  </si>
  <si>
    <t>5.2.1 Үндсэн болон нэмэгдэл цалин</t>
  </si>
  <si>
    <t>5.2.2 Ажилтнуудад олгосон нэмэгдэл цалин, урамшуулал</t>
  </si>
  <si>
    <t>5.2.3 Ажилтнуудад олгосон нөхөн олговор хөнгөлөлт</t>
  </si>
  <si>
    <t>5.2.4 Ажилтнуудад олгосон тэтгэмж, нийгмийн халамж</t>
  </si>
  <si>
    <t>5.2.5 Гэрээгээр ажиллагсдын ажлын хөлс</t>
  </si>
  <si>
    <t>5.2.6 Нийгмийн даатгал, эрүүл мэндийн даатгалын зардал</t>
  </si>
  <si>
    <t>5.2.7 Албан томилолт</t>
  </si>
  <si>
    <t>5.2.8 Сургалтын зардал</t>
  </si>
  <si>
    <t>5.2.9 Бусад</t>
  </si>
  <si>
    <t>5.3. Бусад зардал  (5.3.1+…5.3.26)</t>
  </si>
  <si>
    <t>5.3.1 Үнэт цаас болон түүнтэй холбоотой авлагыг барагдуулахтай холбоотой гарсан зардал</t>
  </si>
  <si>
    <t>5.3.2 Зээл болон  түүнтэй холбоотой авлагыг барагдуулахтай холбогдон гарсан зардал</t>
  </si>
  <si>
    <t>5.3.3 Санхүүгийн түрээсийн үйл ажиллагаатай холбогдон гарсан зардал</t>
  </si>
  <si>
    <t>5.3.4 Факторингийн үйл ажиллагаатай холбогдон гарсан зардал</t>
  </si>
  <si>
    <t>5.3.5 Итгэлцлийн үйлчилгээ болон түүнтэй холбогдон гарсан зардал</t>
  </si>
  <si>
    <t>5.3.6 Аудитын төлбөр, мэргэжлийн үйлчилгээ</t>
  </si>
  <si>
    <t>5.3.7 Даатгал</t>
  </si>
  <si>
    <t>5.3.8 Түрээс</t>
  </si>
  <si>
    <t>5.3.9 Ашиглалтын зардал /цахилгаан, уур ус, дулаан, цэвэр, бохир ус/</t>
  </si>
  <si>
    <t>5.3.10 Үндсэн хөрөнгийн элэгдлийн зардал</t>
  </si>
  <si>
    <t>5.3.11 Харуул, хамгаалалтын зардал</t>
  </si>
  <si>
    <t>5.3.12 Харилцаа холбоо, интернет</t>
  </si>
  <si>
    <t>5.3.13 Шатахуун болон тээврийн зардал</t>
  </si>
  <si>
    <t>5.3.14 Сэлбэг хэрэгсэл, засвар үйлчилгээ</t>
  </si>
  <si>
    <t>5.3.15 Зохицуулалтын хураамжийн  зардал</t>
  </si>
  <si>
    <t>5.3.16 Хөдөлмөр хамгаалал, галын аюулаас хамгаалах зардал</t>
  </si>
  <si>
    <t>5.3.17 Захиалгат хэвлэлийн зардал</t>
  </si>
  <si>
    <t>5.3.18 Автоматжуулалттай холбоотой урсгал зардал</t>
  </si>
  <si>
    <t>5.3.19 Ногдол ашиг</t>
  </si>
  <si>
    <t>5.3.20 Зар сурталчилгаа, маркетингийн судалгаа</t>
  </si>
  <si>
    <t>5.3.21 Бичиг хэргийн зардал</t>
  </si>
  <si>
    <t>5.3.22 Ариун цэврийн зардал</t>
  </si>
  <si>
    <t>5.3.23 Үл хөдлөх хөрөнгийн татвар</t>
  </si>
  <si>
    <t>5.3.24 Харилцагчдын сургалт судалгааны зардал</t>
  </si>
  <si>
    <t>5.3.25 Бусад</t>
  </si>
  <si>
    <t>6. ЦЭВЭР ХҮҮГИЙН БУС ОРЛОГО/ЗАРДЛЫН ДҮН  (4-5)</t>
  </si>
  <si>
    <t>7. Болзошгүй эрсдэлийн сан байгуулахаас өмнөх үйл ажиллагааны ашиг/алдагдал (3+6)</t>
  </si>
  <si>
    <t>8. Болзошгүй эрсдэлийн зардал</t>
  </si>
  <si>
    <t>8.1 Үнэт цаасны эрсдэлийн зардал</t>
  </si>
  <si>
    <t>8.2 Зээлийн эрсдэлийн зардал</t>
  </si>
  <si>
    <t>8.3 Санхүүгийн түрээсийн үйлчилгээний эрсдэлийн зардал</t>
  </si>
  <si>
    <t>8.4 Факторингийн үйлчилгээний эрсдэлийн зардал</t>
  </si>
  <si>
    <t>8.5 Найдваргүй авлагын нөөцийн  зардал</t>
  </si>
  <si>
    <t>8.6 Өмчлөх бусад үл хөдлөх хөрөнгийн эрсдэлийн зардал</t>
  </si>
  <si>
    <t>9. ҮНДСЭН ҮЙЛ АЖИЛЛАГААНЫ АШИГ/АЛДАГДАЛ (7-8)</t>
  </si>
  <si>
    <t>10. Үндсэн бус үйл ажиллагааны орлого</t>
  </si>
  <si>
    <t>10.1 Алданги</t>
  </si>
  <si>
    <t>10.2 Үндсэн хөрөнгө борлуулсны орлого</t>
  </si>
  <si>
    <t>10.3 Ногдол ашгийн орлого</t>
  </si>
  <si>
    <t>10.4 Хандив</t>
  </si>
  <si>
    <t>10.5 Тэнцлийн гадуурх тооцооноос хийгдсэн төлөгдөлт</t>
  </si>
  <si>
    <t>10.6 Бусад</t>
  </si>
  <si>
    <t>11. Үндсэн бус үйл ажиллагааны зардал</t>
  </si>
  <si>
    <t>11.1 Зочин төлөөлөгчийн зардал</t>
  </si>
  <si>
    <t>11.2 Торгуулийн зардал</t>
  </si>
  <si>
    <t>11.3 Хөрөнгө данснаас хассаны гарз</t>
  </si>
  <si>
    <t>11.4 Баяр ёслол</t>
  </si>
  <si>
    <t>11.5 Бусад</t>
  </si>
  <si>
    <t>12. Ердийн үйл ажиллагааны ашиг/алдагдал  / (9+10-11)</t>
  </si>
  <si>
    <t>13. Ердийн бус орлого</t>
  </si>
  <si>
    <t>14. Ердийн бус зардал</t>
  </si>
  <si>
    <t>15. Татвар төлөхийн өмнөх ашиг/алдагдал  (12+13-14)</t>
  </si>
  <si>
    <t>16. Орлогын татварын зардал</t>
  </si>
  <si>
    <t>17. ЦЭВЭР АШИГ (15-16)</t>
  </si>
  <si>
    <t>СТ-2</t>
  </si>
  <si>
    <t>ОРЛОГО ҮР ДҮНГИЙН ТАЙЛАН</t>
  </si>
  <si>
    <t>СТ-3</t>
  </si>
  <si>
    <t>1 Үйл ажиллагааны мөнгөн гүйлгээний дүн</t>
  </si>
  <si>
    <t>1.1 Үндсэн үйл ажиллагааны мөнгөн орлого</t>
  </si>
  <si>
    <t>1.1.1 Зээлийн хүүгийн орлого</t>
  </si>
  <si>
    <t>1.1.2 Үнэт цаасны хүүгийн орлого</t>
  </si>
  <si>
    <t>1.1.3 Факторингийн үйлчилгээний хүүгийн орлого</t>
  </si>
  <si>
    <t>1.1.4 Харилцах дансны хүүгийн орлого</t>
  </si>
  <si>
    <t>1.1.5 Банкин дахь хадгаламжийн хүүгийн орлого</t>
  </si>
  <si>
    <t>1.1.6 Санхүүгийн түрээсийн орлого</t>
  </si>
  <si>
    <t>1.1.7 Гадаад валютын арилжааны орлого</t>
  </si>
  <si>
    <t>1.1.9 Гадаад валютын ханшийн зөрүү</t>
  </si>
  <si>
    <t>1.1.10 Үнэт цаасны үнэлгээний зөрүү</t>
  </si>
  <si>
    <t>1.1.11 Итгэлцлийн үйлчилгээний орлого</t>
  </si>
  <si>
    <t>1.1.12 Мөнгөн гуйвуулгын орлого</t>
  </si>
  <si>
    <t>1.1.13 Картын үйлчилгээний орлого</t>
  </si>
  <si>
    <t>1.1.14 Санхүүгийн зөвлөгөө, мэдээлэл өгөх үйлчилгээний орлого</t>
  </si>
  <si>
    <t>1.1.15 Санхүүгийн түрээсийн орлого</t>
  </si>
  <si>
    <t>1.1.16 Үйлчилгээний хураамж, шимтгэлийн орлого</t>
  </si>
  <si>
    <t>1.1.17 Хүүгийн орлогын буцаалт</t>
  </si>
  <si>
    <t>1.1.18 Бусад үйлчилгээний орлого</t>
  </si>
  <si>
    <t>1.2 Үндсэн үйл ажиллагааны мөнгөн зарлага</t>
  </si>
  <si>
    <t>1.2.1 Банк, санхүүгийн байгууллагаас авсан зээлийн хүүгийн зардал</t>
  </si>
  <si>
    <t>1.2.2 Төслийн зээлийн санхүүжилтын хүүгийн зардал</t>
  </si>
  <si>
    <t>1.2.3 Өрийн бичгийн хүүд төлсөн мөнгө</t>
  </si>
  <si>
    <t>1.2.4 Хүүгийн зардлын буцаалт</t>
  </si>
  <si>
    <t>1.2.5 Үндсэн ба нэмэгдэл цалин</t>
  </si>
  <si>
    <t>1.2.6 Ажилтануудад олгосон нөхөн олговор, тэтгэмж</t>
  </si>
  <si>
    <t>1.2.7 Нийгмийн даатгал, эрүүл мэндийн даатгалын зардал</t>
  </si>
  <si>
    <t>1.2.8 Албан томилолт, сургалтын зардал</t>
  </si>
  <si>
    <t>1.2.9 Ашиглалтын зардалд төлсөн мөнгө</t>
  </si>
  <si>
    <t>1.2.10 Шатахуун, холбоо,  интернет, сэлбэг хэрэгсэлд төлсөн мөнгө</t>
  </si>
  <si>
    <t>1.2.11 Бичиг хэргийн зардал, ариун цэврийн зардал</t>
  </si>
  <si>
    <t>1.2.12 Татвар, даатгалын төлсөн мөнгө</t>
  </si>
  <si>
    <t>1.2.13 Зар сурталчилгаанд төлсөн мөнгө</t>
  </si>
  <si>
    <t>1.2.14 Үнэт цаас болон түүнтэй холбоотой авлагыг барагдуулахтай холбоотой гарсан мөнгө</t>
  </si>
  <si>
    <t>1.2.15 Зээл болон  түүнтэй холбоотой авлагыг барагдуулахтай холбогдон гарсан мөнгө</t>
  </si>
  <si>
    <t>1.2.16 Факторинг болон түүнтэй холбоотой авлагыг барагдуулахтай холбогдон гарсан мөнгө</t>
  </si>
  <si>
    <t>1.2.17 Итгэлцлийн үйлчилгээ болон түүнтэй холбогдон гарсан мөнгө</t>
  </si>
  <si>
    <t>1.2.18 Санхүүгийн түрээсийн үйл ажиллагаатай холбогдон гарах мөнгө</t>
  </si>
  <si>
    <t>1.2.19 Аудитын төлбөр,  мэргэжлийн  зөвлөгөө үйлчилгээний мөнгө</t>
  </si>
  <si>
    <t>1.2.20 Зохицуулалтын үйлчилгээний хураамжид төлсөн мөнгө</t>
  </si>
  <si>
    <t>1.2.21 Ногдол ашгаар олгосон мөнгө</t>
  </si>
  <si>
    <t>1.2.22 Бэлтгэн нийлүүлэгчид төлсөн бусад мөнгө</t>
  </si>
  <si>
    <t>1.2.23 Бусад үйлчилгээнд төлсөн мөнгө</t>
  </si>
  <si>
    <t>2 Үндсэн бус үйл ажиллагааны мөнгөн гүйлгээ</t>
  </si>
  <si>
    <t>2.1 Үндсэн бус үйл ажиллагааны мөнгөн орлого</t>
  </si>
  <si>
    <t>2.1.1 Үндсэн  ба хөрөнгө борлуулсны орлого</t>
  </si>
  <si>
    <t>2.1.2 Ногдол ашгийн орлого</t>
  </si>
  <si>
    <t>2.1.3 Хандив</t>
  </si>
  <si>
    <t>2.1.4 Бусад</t>
  </si>
  <si>
    <t>2.2 Үндсэн бус үйл ажиллагааны мөнгөн зарлага</t>
  </si>
  <si>
    <t>2.2.1 Баяр ёслол, зочин төлөөлөгчийн зардал</t>
  </si>
  <si>
    <t>2.2.2 Торгуулийн зардал</t>
  </si>
  <si>
    <t>2.2.3 Бусад</t>
  </si>
  <si>
    <t>3 Бүх цэвэр мөнгөн гүйлгээ</t>
  </si>
  <si>
    <t>4.1 МӨНГӨН ХӨРӨНГИЙН ЭХНИЙ ҮЛДЭГДЭЛ</t>
  </si>
  <si>
    <t>4.2 МӨНГӨН ХӨРӨНГИЙН ЭЦСИЙН ҮЛДЭГДЭЛ</t>
  </si>
  <si>
    <t>Санхүүгийн зохицуулах хорооны</t>
  </si>
  <si>
    <t>2008 оны 03-р тогтоолын хавсралт 1</t>
  </si>
  <si>
    <t>ГҮЙЦЭТГЭХ ЗАХИРАЛ</t>
  </si>
  <si>
    <t>1.1.8 Үнэт цаасны арилжааны орлого</t>
  </si>
  <si>
    <t>БАЛАНСЫН ЗҮЙЛ</t>
  </si>
  <si>
    <t>14 БОГИНО ХУГАЦААТ ӨР ТӨЛБӨР</t>
  </si>
  <si>
    <t>18 УРТ ХУГАЦААТ ӨР ТӨЛБӨР</t>
  </si>
  <si>
    <t>САНХҮҮГИЙН ТАЙЛАНГИЙН</t>
  </si>
  <si>
    <t>ТОДРУУЛГА</t>
  </si>
  <si>
    <t>1. ТАНИЛЦУУЛГА</t>
  </si>
  <si>
    <t>Байршил :</t>
  </si>
  <si>
    <t>Шуудангийн хаяг :</t>
  </si>
  <si>
    <t>Утас :77003322</t>
  </si>
  <si>
    <t>Өмчийн хэлбэр :</t>
  </si>
  <si>
    <t>Хувийн 100 хувь</t>
  </si>
  <si>
    <t>Үндсэн үйл ажиллагааны чиглэл /төрөл / :</t>
  </si>
  <si>
    <t>(a)</t>
  </si>
  <si>
    <t>Зээлийн үйл ажиллагаа</t>
  </si>
  <si>
    <t>(б)</t>
  </si>
  <si>
    <t>Гадаад валют арилжаа</t>
  </si>
  <si>
    <t>(в)</t>
  </si>
  <si>
    <t>Хөрөнгө оруулалт, санхүүгийн чиглэлээр зөвлөгөө өгөх</t>
  </si>
  <si>
    <t>Туслах үйл ажиллагааны чиглэл /төрөл / :</t>
  </si>
  <si>
    <t>(г)</t>
  </si>
  <si>
    <t>(д)</t>
  </si>
  <si>
    <t>Салбар, төлөөлөгчийн газрын нэр байршил :</t>
  </si>
  <si>
    <t>Гүйцэтгэх захирал / захирал / :</t>
  </si>
  <si>
    <t>Овог :</t>
  </si>
  <si>
    <t>Утас :</t>
  </si>
  <si>
    <t>Нэр :</t>
  </si>
  <si>
    <t>Факс :</t>
  </si>
  <si>
    <t>Е-mail хаяг :</t>
  </si>
  <si>
    <t>Ерөнхий нягтлан бодогч :</t>
  </si>
  <si>
    <r>
      <t>2. НЯГТЛАН БОДОХ БҮРТГЭЛИЙН БОДЛОГО</t>
    </r>
    <r>
      <rPr>
        <b/>
        <vertAlign val="superscript"/>
        <sz val="10"/>
        <color indexed="9"/>
        <rFont val="Calibri"/>
        <family val="2"/>
      </rPr>
      <t>1</t>
    </r>
  </si>
  <si>
    <t xml:space="preserve">Ажил гүйлгээ бүрийг монгол улсын мөнгөний нэгж төгрөг / мөнгө/ -нд үндэслэн </t>
  </si>
  <si>
    <t>бүртгэж байгаа бөгөөд тухайн гүйлгээ гадаад валютаар илэрхийлэгдэж байвал</t>
  </si>
  <si>
    <t>тус өдрийн монгол банкны албан ханшинд шилжүүлэн бүртгэж байна.</t>
  </si>
  <si>
    <t>Эзэмшигчийн өмч</t>
  </si>
  <si>
    <t>Аудитын компани</t>
  </si>
  <si>
    <t>Программ хангамж</t>
  </si>
  <si>
    <t>Тайлангийн суурь, тайлагнасан валют, санхүүгийн хэрэгслүүд, эргэлтийн болон эргэлтийн бус хөрөнгийн үнэлгээ, үндсэн хөрөнгийн элэгдэл, өмч, орлого, зардлыг хүлээн зөвшөөрсөн, татварын тооцооны талаар баримтладаг бодлого, зарчмын тухай товч бичнэ.</t>
  </si>
  <si>
    <t>Касс дахь мөнгө</t>
  </si>
  <si>
    <t>Төрөл</t>
  </si>
  <si>
    <t>Валютаар</t>
  </si>
  <si>
    <t>Төгрөгөөр</t>
  </si>
  <si>
    <t>Касс</t>
  </si>
  <si>
    <t>Банкин дахь мөнгө</t>
  </si>
  <si>
    <t>Харилцагч банкны нэр</t>
  </si>
  <si>
    <t>Дансны дугаар</t>
  </si>
  <si>
    <t xml:space="preserve">Валютаар </t>
  </si>
  <si>
    <t>Хаан банк</t>
  </si>
  <si>
    <t>Хас банк</t>
  </si>
  <si>
    <t>Голомт банк</t>
  </si>
  <si>
    <t>Төрийн банк</t>
  </si>
  <si>
    <t>ХХБ</t>
  </si>
  <si>
    <t>Нийт</t>
  </si>
  <si>
    <t>Богино хугацаат хөрөнгө оруулалт</t>
  </si>
  <si>
    <t>Хөрөнгө оруулалтын төрөл</t>
  </si>
  <si>
    <t xml:space="preserve">Нийт </t>
  </si>
  <si>
    <t>Зээл</t>
  </si>
  <si>
    <t>Зээлийн төрөл</t>
  </si>
  <si>
    <t>Нийт зээл</t>
  </si>
  <si>
    <t>Хэвийн зээл</t>
  </si>
  <si>
    <t>Хугацаа хэтэрсэн зээл</t>
  </si>
  <si>
    <t>Чанаргүй зээл</t>
  </si>
  <si>
    <t xml:space="preserve">                        Хэвийн бус зээл</t>
  </si>
  <si>
    <t xml:space="preserve">                       Эргэлзээтэй зээл</t>
  </si>
  <si>
    <t xml:space="preserve">                       Муу зээл</t>
  </si>
  <si>
    <t>Зээлийн эрсдлийн сан</t>
  </si>
  <si>
    <t>Санхүүгийн түрээсийн тооцооны авлага</t>
  </si>
  <si>
    <t>Санхүүгийн түрээсийн авлагын төрөл</t>
  </si>
  <si>
    <t>Нийт санхүүгийн түрээсийн авлага</t>
  </si>
  <si>
    <t>Хэвийн санхүүгийн түрээс</t>
  </si>
  <si>
    <t>Хугацаа хэтэрсэн санхүүгийн түрээс</t>
  </si>
  <si>
    <t>Чанаргүй санхүүгийн түрээс</t>
  </si>
  <si>
    <t xml:space="preserve">                 Хэвийн бус санхүүгийн түрээс</t>
  </si>
  <si>
    <t xml:space="preserve">                Эргэлзээтэй санхүүгийн түрээс</t>
  </si>
  <si>
    <t xml:space="preserve">                 Муу санхүүгийн түрээс</t>
  </si>
  <si>
    <t>Санхүүгийн түрээсийн эрсдлийн сан</t>
  </si>
  <si>
    <t>Факторингийн тооцооны авлага</t>
  </si>
  <si>
    <t>Нийт факторинг</t>
  </si>
  <si>
    <t>Хэвийн факторинг</t>
  </si>
  <si>
    <t>Хугацаа хэтэрсэн факторинг</t>
  </si>
  <si>
    <t>Чанаргүй факторинг</t>
  </si>
  <si>
    <t xml:space="preserve">                        Хэвийн бус </t>
  </si>
  <si>
    <t xml:space="preserve">                       Эргэлзээтэй</t>
  </si>
  <si>
    <t xml:space="preserve">                       Муу</t>
  </si>
  <si>
    <t>Факторингийн эрсдлийн сан</t>
  </si>
  <si>
    <t>Санхүүгийн деривативын авлага</t>
  </si>
  <si>
    <t>Бусад авлага</t>
  </si>
  <si>
    <t>Урьдчилж төлсөн төлбөрүүд</t>
  </si>
  <si>
    <t>Хуримтлуулж тооцсон хүүгийн авлага</t>
  </si>
  <si>
    <t>Хуримтлуулж тооцсон хүүгийн авлагын төрөл</t>
  </si>
  <si>
    <t>Хүүгийн авлага -зээл</t>
  </si>
  <si>
    <t>Бараа материал</t>
  </si>
  <si>
    <t>Бараа материал хангамжийн зүйлсийн төрөл</t>
  </si>
  <si>
    <t xml:space="preserve">БҮТЭЗ </t>
  </si>
  <si>
    <t>Өмчлөх бусад үл хөдлөх хөрөнгө</t>
  </si>
  <si>
    <t>Хөрөнгийн төрөл</t>
  </si>
  <si>
    <t>Нийт өмчлөх бусад үл хөдлөх хөрөнгө</t>
  </si>
  <si>
    <t>Хэвийн өмчлөх бусад үл хөдлөх хөрөнгө</t>
  </si>
  <si>
    <t>Хугацаа хэтэрсэн өмчлөх бусад үл хөдлөх хөрөнгө</t>
  </si>
  <si>
    <t>Чанаргүй өмчлөх бусад үл хөдлөх хөрөнгө</t>
  </si>
  <si>
    <t>Хэвийн бус өмчлөх бусад үл хөдлөх хөрөнгө</t>
  </si>
  <si>
    <t>Эргэлзээтэй өмчлөх бусад үл хөдлөх хөрөнгө</t>
  </si>
  <si>
    <t>Муу өмчлөх бусад үл хөдлөх хөрөнгө</t>
  </si>
  <si>
    <t>Өмчлөх бусад үл хөдлөх хөрөнгийн эрсдлийн сан</t>
  </si>
  <si>
    <t>Дуусаагүй барилга</t>
  </si>
  <si>
    <t>Эхэлсэн он</t>
  </si>
  <si>
    <t>Дуусгалтын хувь</t>
  </si>
  <si>
    <t>Нийт төсөв</t>
  </si>
  <si>
    <t>Ашиглалтанд орох хугацаа</t>
  </si>
  <si>
    <t>Үндсэн хөрөнгө ба элэгдэл</t>
  </si>
  <si>
    <t>Барилга байгууламж</t>
  </si>
  <si>
    <t>Тавилга эд хогшил</t>
  </si>
  <si>
    <t>Тоног төхөөрөмж</t>
  </si>
  <si>
    <t>Тээврийн хэрэгсэл</t>
  </si>
  <si>
    <t>Бүгд</t>
  </si>
  <si>
    <t>Нэмэгдсэн</t>
  </si>
  <si>
    <t>Худалдан авсан</t>
  </si>
  <si>
    <t>Үнэ төлбөргүй авсан</t>
  </si>
  <si>
    <t>Хасагдсан</t>
  </si>
  <si>
    <t>Худалдсан</t>
  </si>
  <si>
    <t>Акталж устгасан</t>
  </si>
  <si>
    <t>Үнэгүй шилжүүлсэн</t>
  </si>
  <si>
    <t>Хуримтлагдсан элэгдэл</t>
  </si>
  <si>
    <t xml:space="preserve">Тайлант жилд байгуулсан </t>
  </si>
  <si>
    <t>Биет бус хөрөнгө</t>
  </si>
  <si>
    <t xml:space="preserve">Төрөл </t>
  </si>
  <si>
    <t>Патент</t>
  </si>
  <si>
    <t>Зохиогчийн эрх</t>
  </si>
  <si>
    <t>Бусад</t>
  </si>
  <si>
    <t>Акласан</t>
  </si>
  <si>
    <t>Үнэгүй шилжүүлэсэн</t>
  </si>
  <si>
    <t>Тайлант жилд байгуулсан</t>
  </si>
  <si>
    <t>Богино хугацаат өглөг</t>
  </si>
  <si>
    <t>Богино хугацаат зээлийн өглөг</t>
  </si>
  <si>
    <t>Төлөгдөх хугацаандаа байгаа</t>
  </si>
  <si>
    <t>Хугацаа хэтэрсэн</t>
  </si>
  <si>
    <t>Өрийн бичгийн өглөг</t>
  </si>
  <si>
    <t>Санхүүгийн деривативын өглөг</t>
  </si>
  <si>
    <t>Төслийн зээлийн богино хугацаат санхүүжилт</t>
  </si>
  <si>
    <t>Бусад эх үүсвэрийн өглөг</t>
  </si>
  <si>
    <t>Итгэлцлийн үйлчилгээний өглөг</t>
  </si>
  <si>
    <t>Факторингийн үйлчилгээний өглөг</t>
  </si>
  <si>
    <t>Мөнгөн гуйвуулгын өглөг</t>
  </si>
  <si>
    <t>Зээлийн батлан даалтанд байршуулсан эх үүсвэр</t>
  </si>
  <si>
    <t>Төлбөрийн болон зээлийн картын үйлчилгээтэй холбоотой өглөг</t>
  </si>
  <si>
    <t>Хуримтлуулж тооцсон хүүгийн өглөг</t>
  </si>
  <si>
    <t>Хуримтлуулж тооцсон зээлийн хүүгийн өглөг</t>
  </si>
  <si>
    <t>Үнэт цаасны хүүгийн өглөг</t>
  </si>
  <si>
    <t>Хуримтлуулж тооцсон бусад хүүгийн өглөг</t>
  </si>
  <si>
    <t>Урт хугацаат өглөг</t>
  </si>
  <si>
    <t>Урт хугацаат зээлийн өглөг</t>
  </si>
  <si>
    <t>Төслийн зээлийн урт хугацаат санхүүжилт</t>
  </si>
  <si>
    <t>Орлого</t>
  </si>
  <si>
    <t>Орлогын төрөл</t>
  </si>
  <si>
    <t>Зээлийн хүүгийн орлого</t>
  </si>
  <si>
    <t>Нэмэгдүүлсэн хүүгийн орлого</t>
  </si>
  <si>
    <t>Хүүгийн орлогын буцаалт</t>
  </si>
  <si>
    <t>Гадаад валют арилжааны орлого</t>
  </si>
  <si>
    <t>Зээл олголтын хураамжийн орлого</t>
  </si>
  <si>
    <t>Харилцах дансны хүүгийн орлого</t>
  </si>
  <si>
    <t>Хадгаламжийн дансны хүүгийн орлого</t>
  </si>
  <si>
    <t>/Төгрөгөөр/</t>
  </si>
  <si>
    <t>Үйл ажиллагаа явуулж эхэлсэн огноо : 2011.04 сар</t>
  </si>
  <si>
    <t>4.3 (Санхүүгийн түрээсийн эрсдэлийн сан)</t>
  </si>
  <si>
    <t xml:space="preserve">    21.5 Хуримтлагдсан ашиг /алдагдал/</t>
  </si>
  <si>
    <t xml:space="preserve">      21.5.1 Тайлант үеийн ашиг /алдагдал/</t>
  </si>
  <si>
    <t xml:space="preserve">      21.5.2 Өмнөх үеийн ашиг /алдагдал/</t>
  </si>
  <si>
    <t>4.2.2 Үнэт цаасны ханшийн тэгшитгэлийн орлого</t>
  </si>
  <si>
    <t>Хөрөнгө оруулалтын хувьцаа</t>
  </si>
  <si>
    <t>Арилжааны хувьцаа</t>
  </si>
  <si>
    <t>Авлага</t>
  </si>
  <si>
    <t>Материал</t>
  </si>
  <si>
    <t>Үнэт цаас арилжааны орлого</t>
  </si>
  <si>
    <t>Үнэт цаасны ханш тэгшитгэлийн орлого</t>
  </si>
  <si>
    <t>Хөрөнгө борлуулсны орлого</t>
  </si>
  <si>
    <t>Тэнцлийн гадуурхаас төлөгдсөн орлого</t>
  </si>
  <si>
    <t>Үнэт цаасны хүүгийн орлого</t>
  </si>
  <si>
    <t>1-р сарын 1</t>
  </si>
  <si>
    <t xml:space="preserve">Төрийн … Хувь, </t>
  </si>
  <si>
    <t>итгэлцийн үйлчилгээ</t>
  </si>
  <si>
    <t>цахим төлбөр тооцоо, мөнгө гуйвуулгын үйлчилгээ</t>
  </si>
  <si>
    <t>Хувьцаат компани</t>
  </si>
  <si>
    <t>УБ хотын банк</t>
  </si>
  <si>
    <t>Тээвэр хөгжлийн банк</t>
  </si>
  <si>
    <t>ХХБ-мост</t>
  </si>
  <si>
    <t>Урьдчилж төлсөн төлбөр</t>
  </si>
  <si>
    <t>(Г.ТЭЛМЭН)</t>
  </si>
  <si>
    <t>Харилцдаг санхүү, татварын байгууллага : Нийслэлийн санхүү татварын хэлтэс</t>
  </si>
  <si>
    <t>Тэлмэн</t>
  </si>
  <si>
    <t>Гэрэлт</t>
  </si>
  <si>
    <t>Грант Торнтон Аудит</t>
  </si>
  <si>
    <t>Хас банк карт</t>
  </si>
  <si>
    <t>Хас банк евро</t>
  </si>
  <si>
    <t>Богд банк</t>
  </si>
  <si>
    <t>ТХБ хадгаламж</t>
  </si>
  <si>
    <t>Ард актив хадгаламж</t>
  </si>
  <si>
    <t>Бусад үйлчилгээ хураамжийн орлого</t>
  </si>
  <si>
    <t>ЗГ хандив тусламжийн орлого</t>
  </si>
  <si>
    <t>Эрсдэлийн сан буусан, бусад орлого</t>
  </si>
  <si>
    <t xml:space="preserve">Бүртгэлийг Аккруэль сууриар, </t>
  </si>
  <si>
    <t>Грэйп Сити Монголиа ХХК-ын Нэс суурьт Поларис банкны үндсэн бүртгэлийн систем</t>
  </si>
  <si>
    <t>Өмнөх оны дүн</t>
  </si>
  <si>
    <t>Тайлант оны дүн</t>
  </si>
  <si>
    <t>(Х.ЦЭРЭННАДМИД)</t>
  </si>
  <si>
    <t>2021 оны 12-р сарын 31-ны үлдэгдэл</t>
  </si>
  <si>
    <t>Халтар</t>
  </si>
  <si>
    <t>Цэрэннадмид</t>
  </si>
  <si>
    <t>tserennadmid.h@ardcredit.com</t>
  </si>
  <si>
    <t>telmen.g@ardcredit.com</t>
  </si>
  <si>
    <t>Ариг банк</t>
  </si>
  <si>
    <t>Замд яваа мөнгө</t>
  </si>
  <si>
    <t>Өрийн бичиг</t>
  </si>
  <si>
    <t>2.5  Өрийн бичиг</t>
  </si>
  <si>
    <t>Түрээсийн хөрөнгө ашиглах эрх</t>
  </si>
  <si>
    <t xml:space="preserve">Бусад орлого </t>
  </si>
  <si>
    <t>Гадаад валютын ханшийн  тэгшитгэлийн орлого</t>
  </si>
  <si>
    <t>"АРДКРЕДИТ ББСБ" ХК</t>
  </si>
  <si>
    <t>Улаанбаатар, Чингэлтэй, 1-р хороо, Энхтайваны өргөн чөлөө, Төв шуудан-15160, Монгол Шуудан ХК-ийн байр</t>
  </si>
  <si>
    <t>СБД, 8-р хороо, Сүхбаатарын талбай-2, Сэнтрал тауэр барилгын 13 давхар, 1313 тоот</t>
  </si>
  <si>
    <t>2022 оны 12-р сарын 31-ны үлдэгдэл</t>
  </si>
  <si>
    <t>Капитрон банк</t>
  </si>
  <si>
    <t>Ногдол ашгийн орлого</t>
  </si>
  <si>
    <t>Тайлант хугацаа</t>
  </si>
  <si>
    <t>2023 оны 06 сарын 30 өдөр</t>
  </si>
  <si>
    <t>06-р сарын 30</t>
  </si>
  <si>
    <t>Мянган төгрөгөөр</t>
  </si>
  <si>
    <t>Үндсэн үйл ажиллагааны мөнгөн гүйлгээ</t>
  </si>
  <si>
    <t>Мөнгөн орлогын дүн</t>
  </si>
  <si>
    <t>Харилцагчдад олгосон зээлийн эргэн төлөлт /үндсэн зээл/</t>
  </si>
  <si>
    <t>Итгэлцэл, татан төвлөрүүлсэн хөрөнгө</t>
  </si>
  <si>
    <t>Үйлчилгээний хураамж, шимтгэлийн орлого</t>
  </si>
  <si>
    <t>Бусад үйлчилгээний орлого</t>
  </si>
  <si>
    <t>Мөнгөн зарлагын дүн</t>
  </si>
  <si>
    <t>Харилцагчдад олгосон зээлд төлсөн</t>
  </si>
  <si>
    <t>Итгэлцэл татан төвлөрүүлсэн хөрөнгө төлөлт</t>
  </si>
  <si>
    <t>Итгэлцлийн үйлчилгээний хүүгийн зардалд төлсөн</t>
  </si>
  <si>
    <t>Үндсэн ба нэмэгдэл цалинд төлсөн</t>
  </si>
  <si>
    <t>Түрээс, менежментийн зардалд төлсөн</t>
  </si>
  <si>
    <t>Аудитын төлбөр,  мэргэжлийн  зөвлөгөө үйлчилгээний мөнгө</t>
  </si>
  <si>
    <t>Татвар, даатгалд төлсөн</t>
  </si>
  <si>
    <t>Бондын хүүгийн зардалд төлсөн</t>
  </si>
  <si>
    <t>Зохицуулалтын үйлчилгээний хураамжид төлсөн мөнгө</t>
  </si>
  <si>
    <t>Нийгмийн даатгалын шимтгэлд төлсөн</t>
  </si>
  <si>
    <t>Шатахуун, холбоо,  интернет, сэлбэг хэрэгсэлд төлсөн</t>
  </si>
  <si>
    <t>Банк, санхүүгийн байгууллагаас авсан зээлийн хүүгийн зардалд төлсөн</t>
  </si>
  <si>
    <t>Бичиг хэргийн зардал, ариун цэврийн зардалд төлсөн</t>
  </si>
  <si>
    <t>Албан томилолт, сургалтын зардалд төлсөн</t>
  </si>
  <si>
    <t>Ажилтнуудад олгосон нөхөн олговор, тэтгэмжид төлсөн</t>
  </si>
  <si>
    <t>Зар сурталчилгаанд төлсөн мөнгө</t>
  </si>
  <si>
    <t>Зээл болон  түүнтэй холбоотой авлагыг барагдуулахтай холбогдон гарсан мөнгө</t>
  </si>
  <si>
    <t>Бусад үйлчилгээнд төлсөн мөнгө</t>
  </si>
  <si>
    <t>Үндсэн үйл ажиллагааны цэвэр мөнгөн гүйлгээний дүн</t>
  </si>
  <si>
    <t>Хөрөнгө оруулалтын үйл ажиллагааны мөнгөн гүйлгээ</t>
  </si>
  <si>
    <t>Харилцах, хадгаламжийн хүүгийн орлого</t>
  </si>
  <si>
    <t>Хөрөнгө худалдан авахад төлсөн мөнгө</t>
  </si>
  <si>
    <t>Баяр ёслол, зочин төлөөлөгчийн зардал</t>
  </si>
  <si>
    <t>Хөрөнгө оруулалтын үйл ажиллагааны цэвэр мөнгөн гүйлгээний дүн</t>
  </si>
  <si>
    <t>Санхүүгийн үйл ажиллагааны мөнгөн гүйлгээ</t>
  </si>
  <si>
    <t>Бонд гаргалтаас хүлээн авсан мөнгө</t>
  </si>
  <si>
    <t>Банк, санхүүгийн байгууллагаас авсан зээл</t>
  </si>
  <si>
    <t>Банк, санхүүгийн зээлийг төлсөн мөнгө</t>
  </si>
  <si>
    <t>Бондын төлбөрт төлсөн мөнгө</t>
  </si>
  <si>
    <t>Ногдол ашигт төлсөн мөнгө</t>
  </si>
  <si>
    <t>Үнэт цаас худалдан авахад төлсөн мөнгө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</si>
  <si>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</si>
  <si>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</si>
  <si>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</si>
  <si>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</si>
  <si>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2023 оны 06-р сарын 30-ны үлдэгдэл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</si>
</sst>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_-* #,##0.00[$₮-450]_-;\-* #,##0.00[$₮-450]_-;_-* &quot;-&quot;??[$₮-450]_-;_-@_-"/>
    <numFmt numFmtId="172" formatCode="_ [$SFr.-100C]\ * #,##0.00_ ;_ [$SFr.-100C]\ * \-#,##0.00_ ;_ [$SFr.-100C]\ * &quot;-&quot;??_ ;_ @_ "/>
    <numFmt numFmtId="173" formatCode="#."/>
    <numFmt numFmtId="174" formatCode="#,##0.0"/>
    <numFmt numFmtId="175" formatCode="0.0%"/>
    <numFmt numFmtId="176" formatCode="_(* #,##0.0_);_(* \(#,##0.0\);_(* &quot;-&quot;??_);_(@_)"/>
    <numFmt numFmtId="177" formatCode="_(* #,##0.000000_);_(* \(#,##0.000000\);_(* &quot;-&quot;??_);_(@_)"/>
    <numFmt numFmtId="178" formatCode="#,##0.00_ ;\-#,##0.00\ "/>
    <numFmt numFmtId="179" formatCode="yyyy\.mm\.dd"/>
    <numFmt numFmtId="180" formatCode="#,##0.00;[Red]#,##0.00"/>
    <numFmt numFmtId="181" formatCode="_(&quot;$&quot;* #,##0.0_);_(&quot;$&quot;* \(#,##0.0\);_(&quot;$&quot;* &quot;-&quot;??_);_(@_)"/>
    <numFmt numFmtId="182" formatCode="_(* #,##0_);_(* \(#,##0\);_(* &quot;-&quot;??_);_(@_)"/>
    <numFmt numFmtId="183" formatCode="_(&quot;$&quot;* #,##0_);_(&quot;$&quot;* \(#,##0\);_(&quot;$&quot;* &quot;-&quot;??_);_(@_)"/>
    <numFmt numFmtId="184" formatCode="."/>
    <numFmt numFmtId="185" formatCode="[$-409]dddd\,\ mmmm\ d\,\ yyyy"/>
    <numFmt numFmtId="186" formatCode="_(&quot;$&quot;* #,##0.0_);_(&quot;$&quot;* \(#,##0.0\);_(&quot;$&quot;* &quot;-&quot;?_);_(@_)"/>
    <numFmt numFmtId="187" formatCode="0.000"/>
    <numFmt numFmtId="188" formatCode="[$-409]d\ mmmm\,\ yyyy"/>
    <numFmt numFmtId="189" formatCode="_(&quot;$&quot;* #,##0.000_);_(&quot;$&quot;* \(#,##0.000\);_(&quot;$&quot;* &quot;-&quot;??_);_(@_)"/>
    <numFmt numFmtId="190" formatCode="_-* #,##0.00\ [$CHF-100C]_-;\-* #,##0.00\ [$CHF-100C]_-;_-* &quot;-&quot;??\ [$CHF-100C]_-;_-@_-"/>
    <numFmt numFmtId="191" formatCode="_(&quot;$&quot;* #,##0.0000_);_(&quot;$&quot;* \(#,##0.0000\);_(&quot;$&quot;* &quot;-&quot;??_);_(@_)"/>
    <numFmt numFmtId="192" formatCode="_(* #,##0.000_);_(* \(#,##0.000\);_(* &quot;-&quot;??_);_(@_)"/>
    <numFmt numFmtId="193" formatCode="#,##0.000000"/>
    <numFmt numFmtId="194" formatCode="#,##0.00000000"/>
    <numFmt numFmtId="195" formatCode="_(* #,##0.0_);_(* \(#,##0.0\);_(* &quot;-&quot;?_);_(@_)"/>
    <numFmt numFmtId="196" formatCode="#,##0.0_);\(#,##0.0\)"/>
    <numFmt numFmtId="197" formatCode="#,##0.0;[Red]#,##0.0"/>
  </numFmts>
  <fonts count="9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name val="Erika Mon"/>
      <family val="1"/>
    </font>
    <font>
      <sz val="10"/>
      <name val="Times New Roman Mo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b/>
      <vertAlign val="superscript"/>
      <sz val="10"/>
      <color indexed="9"/>
      <name val="Calibri"/>
      <family val="2"/>
    </font>
    <font>
      <sz val="10"/>
      <name val="Calibri"/>
      <family val="2"/>
    </font>
    <font>
      <sz val="11"/>
      <name val="Tahoma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Times New Roman"/>
      <family val="1"/>
    </font>
    <font>
      <b/>
      <u val="singleAccounting"/>
      <sz val="10"/>
      <name val="Times New Roman"/>
      <family val="1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8"/>
      <color indexed="8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30"/>
      <name val="Times New Roman"/>
      <family val="1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i/>
      <u val="single"/>
      <sz val="11"/>
      <color indexed="9"/>
      <name val="Times New Roman"/>
      <family val="1"/>
    </font>
    <font>
      <i/>
      <u val="single"/>
      <sz val="10"/>
      <color indexed="9"/>
      <name val="Times New Roman"/>
      <family val="1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Calibri"/>
      <family val="2"/>
    </font>
    <font>
      <sz val="10"/>
      <color theme="0"/>
      <name val="Times New Roman"/>
      <family val="1"/>
    </font>
    <font>
      <b/>
      <sz val="10"/>
      <color rgb="FF0070C0"/>
      <name val="Times New Roman"/>
      <family val="1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u val="single"/>
      <sz val="11"/>
      <color theme="0"/>
      <name val="Times New Roman"/>
      <family val="1"/>
    </font>
    <font>
      <i/>
      <u val="single"/>
      <sz val="10"/>
      <color theme="0"/>
      <name val="Times New Roman"/>
      <family val="1"/>
    </font>
    <font>
      <u val="single"/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43" fontId="2" fillId="0" borderId="11" xfId="42" applyNumberFormat="1" applyFont="1" applyFill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left" vertical="center" wrapText="1"/>
    </xf>
    <xf numFmtId="43" fontId="1" fillId="34" borderId="11" xfId="42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3" fontId="1" fillId="34" borderId="11" xfId="52" applyNumberFormat="1" applyFont="1" applyFill="1" applyBorder="1" applyAlignment="1">
      <alignment horizontal="right" vertical="center" wrapText="1"/>
    </xf>
    <xf numFmtId="43" fontId="1" fillId="34" borderId="11" xfId="52" applyNumberFormat="1" applyFont="1" applyFill="1" applyBorder="1" applyAlignment="1">
      <alignment horizontal="left" vertical="center" wrapText="1"/>
    </xf>
    <xf numFmtId="43" fontId="1" fillId="0" borderId="10" xfId="51" applyFont="1" applyBorder="1" applyAlignment="1">
      <alignment/>
    </xf>
    <xf numFmtId="43" fontId="1" fillId="0" borderId="0" xfId="51" applyFont="1" applyAlignment="1">
      <alignment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2" fillId="35" borderId="0" xfId="0" applyFont="1" applyFill="1" applyAlignment="1">
      <alignment/>
    </xf>
    <xf numFmtId="184" fontId="7" fillId="0" borderId="0" xfId="0" applyNumberFormat="1" applyFont="1" applyAlignment="1">
      <alignment horizontal="left"/>
    </xf>
    <xf numFmtId="0" fontId="7" fillId="0" borderId="0" xfId="51" applyNumberFormat="1" applyFont="1" applyAlignment="1">
      <alignment/>
    </xf>
    <xf numFmtId="184" fontId="1" fillId="0" borderId="0" xfId="0" applyNumberFormat="1" applyFont="1" applyAlignment="1">
      <alignment horizontal="left"/>
    </xf>
    <xf numFmtId="0" fontId="2" fillId="0" borderId="0" xfId="51" applyNumberFormat="1" applyFont="1" applyAlignment="1">
      <alignment/>
    </xf>
    <xf numFmtId="0" fontId="7" fillId="0" borderId="0" xfId="0" applyFont="1" applyAlignment="1">
      <alignment/>
    </xf>
    <xf numFmtId="0" fontId="1" fillId="0" borderId="0" xfId="51" applyNumberFormat="1" applyFont="1" applyAlignment="1">
      <alignment/>
    </xf>
    <xf numFmtId="43" fontId="2" fillId="0" borderId="0" xfId="51" applyFont="1" applyAlignment="1">
      <alignment/>
    </xf>
    <xf numFmtId="184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3" fontId="2" fillId="0" borderId="10" xfId="51" applyFont="1" applyBorder="1" applyAlignment="1">
      <alignment vertical="center"/>
    </xf>
    <xf numFmtId="43" fontId="2" fillId="0" borderId="12" xfId="51" applyFont="1" applyBorder="1" applyAlignment="1">
      <alignment vertical="center"/>
    </xf>
    <xf numFmtId="0" fontId="2" fillId="0" borderId="12" xfId="0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18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1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7" fillId="0" borderId="14" xfId="0" applyFont="1" applyBorder="1" applyAlignment="1">
      <alignment/>
    </xf>
    <xf numFmtId="0" fontId="17" fillId="0" borderId="14" xfId="0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43" fontId="2" fillId="0" borderId="16" xfId="5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3" fontId="2" fillId="0" borderId="16" xfId="51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19" xfId="51" applyFont="1" applyBorder="1" applyAlignment="1">
      <alignment horizontal="center"/>
    </xf>
    <xf numFmtId="43" fontId="2" fillId="0" borderId="17" xfId="51" applyFont="1" applyBorder="1" applyAlignment="1">
      <alignment horizontal="center"/>
    </xf>
    <xf numFmtId="43" fontId="2" fillId="0" borderId="16" xfId="5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horizontal="left"/>
    </xf>
    <xf numFmtId="43" fontId="1" fillId="0" borderId="16" xfId="5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43" fontId="1" fillId="0" borderId="17" xfId="51" applyFont="1" applyBorder="1" applyAlignment="1">
      <alignment horizontal="left"/>
    </xf>
    <xf numFmtId="43" fontId="2" fillId="0" borderId="16" xfId="51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3" fontId="2" fillId="0" borderId="16" xfId="51" applyFont="1" applyBorder="1" applyAlignment="1">
      <alignment horizontal="center" vertical="center" wrapText="1"/>
    </xf>
    <xf numFmtId="43" fontId="2" fillId="0" borderId="17" xfId="5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43" fontId="1" fillId="0" borderId="16" xfId="51" applyFont="1" applyBorder="1" applyAlignment="1">
      <alignment horizontal="left"/>
    </xf>
    <xf numFmtId="43" fontId="1" fillId="0" borderId="16" xfId="51" applyFont="1" applyBorder="1" applyAlignment="1">
      <alignment horizontal="center"/>
    </xf>
    <xf numFmtId="43" fontId="1" fillId="0" borderId="16" xfId="51" applyFont="1" applyBorder="1" applyAlignment="1">
      <alignment/>
    </xf>
    <xf numFmtId="0" fontId="2" fillId="0" borderId="16" xfId="0" applyFont="1" applyBorder="1" applyAlignment="1">
      <alignment horizontal="left"/>
    </xf>
    <xf numFmtId="43" fontId="2" fillId="0" borderId="16" xfId="51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43" fontId="2" fillId="0" borderId="16" xfId="5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17" xfId="5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3" fontId="2" fillId="0" borderId="0" xfId="5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51" applyFont="1" applyBorder="1" applyAlignment="1">
      <alignment horizontal="left"/>
    </xf>
    <xf numFmtId="43" fontId="2" fillId="0" borderId="0" xfId="51" applyFont="1" applyBorder="1" applyAlignment="1">
      <alignment/>
    </xf>
    <xf numFmtId="0" fontId="21" fillId="0" borderId="0" xfId="0" applyFont="1" applyAlignment="1">
      <alignment/>
    </xf>
    <xf numFmtId="43" fontId="21" fillId="0" borderId="0" xfId="5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43" fontId="2" fillId="0" borderId="0" xfId="51" applyFont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43" fontId="2" fillId="0" borderId="16" xfId="5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51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43" fontId="1" fillId="0" borderId="16" xfId="51" applyFont="1" applyBorder="1" applyAlignment="1">
      <alignment vertical="center"/>
    </xf>
    <xf numFmtId="0" fontId="1" fillId="0" borderId="16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left" vertical="center" wrapText="1"/>
    </xf>
    <xf numFmtId="43" fontId="1" fillId="33" borderId="11" xfId="42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left" vertical="center" wrapText="1" indent="1"/>
    </xf>
    <xf numFmtId="43" fontId="2" fillId="33" borderId="11" xfId="42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left" vertical="center" wrapText="1" indent="1"/>
    </xf>
    <xf numFmtId="164" fontId="2" fillId="33" borderId="11" xfId="0" applyNumberFormat="1" applyFont="1" applyFill="1" applyBorder="1" applyAlignment="1">
      <alignment horizontal="left" vertical="center" wrapText="1" indent="2"/>
    </xf>
    <xf numFmtId="164" fontId="2" fillId="33" borderId="20" xfId="0" applyNumberFormat="1" applyFont="1" applyFill="1" applyBorder="1" applyAlignment="1">
      <alignment horizontal="left" vertical="center" wrapText="1" indent="2"/>
    </xf>
    <xf numFmtId="43" fontId="2" fillId="33" borderId="16" xfId="42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64" fontId="2" fillId="33" borderId="11" xfId="0" applyNumberFormat="1" applyFont="1" applyFill="1" applyBorder="1" applyAlignment="1">
      <alignment horizontal="left" vertical="center" wrapText="1"/>
    </xf>
    <xf numFmtId="4" fontId="25" fillId="33" borderId="0" xfId="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 horizontal="left"/>
    </xf>
    <xf numFmtId="43" fontId="2" fillId="33" borderId="0" xfId="0" applyNumberFormat="1" applyFont="1" applyFill="1" applyAlignment="1">
      <alignment horizontal="center"/>
    </xf>
    <xf numFmtId="43" fontId="1" fillId="34" borderId="11" xfId="42" applyNumberFormat="1" applyFont="1" applyFill="1" applyBorder="1" applyAlignment="1">
      <alignment horizontal="center" vertical="center" wrapText="1"/>
    </xf>
    <xf numFmtId="164" fontId="28" fillId="33" borderId="11" xfId="0" applyNumberFormat="1" applyFont="1" applyFill="1" applyBorder="1" applyAlignment="1">
      <alignment horizontal="center" vertical="center" wrapText="1"/>
    </xf>
    <xf numFmtId="43" fontId="28" fillId="33" borderId="11" xfId="42" applyNumberFormat="1" applyFont="1" applyFill="1" applyBorder="1" applyAlignment="1">
      <alignment horizontal="center" vertical="center" wrapText="1"/>
    </xf>
    <xf numFmtId="43" fontId="1" fillId="34" borderId="11" xfId="52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43" fontId="1" fillId="33" borderId="11" xfId="52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43" fontId="2" fillId="33" borderId="11" xfId="52" applyFont="1" applyFill="1" applyBorder="1" applyAlignment="1">
      <alignment horizontal="center" vertical="center" wrapText="1"/>
    </xf>
    <xf numFmtId="44" fontId="2" fillId="33" borderId="11" xfId="42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43" fontId="1" fillId="33" borderId="0" xfId="52" applyNumberFormat="1" applyFont="1" applyFill="1" applyAlignment="1">
      <alignment horizontal="right"/>
    </xf>
    <xf numFmtId="43" fontId="1" fillId="33" borderId="0" xfId="52" applyNumberFormat="1" applyFont="1" applyFill="1" applyAlignment="1">
      <alignment horizontal="left"/>
    </xf>
    <xf numFmtId="43" fontId="2" fillId="33" borderId="0" xfId="52" applyNumberFormat="1" applyFont="1" applyFill="1" applyAlignment="1">
      <alignment/>
    </xf>
    <xf numFmtId="43" fontId="1" fillId="33" borderId="11" xfId="52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43" fontId="2" fillId="33" borderId="11" xfId="52" applyNumberFormat="1" applyFont="1" applyFill="1" applyBorder="1" applyAlignment="1">
      <alignment horizontal="left" vertical="center" wrapText="1" indent="1"/>
    </xf>
    <xf numFmtId="43" fontId="1" fillId="33" borderId="11" xfId="42" applyNumberFormat="1" applyFont="1" applyFill="1" applyBorder="1" applyAlignment="1">
      <alignment horizontal="right" vertical="center" wrapText="1"/>
    </xf>
    <xf numFmtId="43" fontId="2" fillId="33" borderId="16" xfId="52" applyNumberFormat="1" applyFont="1" applyFill="1" applyBorder="1" applyAlignment="1">
      <alignment horizontal="left" vertical="center" wrapText="1" indent="1"/>
    </xf>
    <xf numFmtId="164" fontId="2" fillId="33" borderId="20" xfId="0" applyNumberFormat="1" applyFont="1" applyFill="1" applyBorder="1" applyAlignment="1">
      <alignment horizontal="left" vertical="center" wrapText="1" indent="1"/>
    </xf>
    <xf numFmtId="43" fontId="2" fillId="33" borderId="21" xfId="52" applyNumberFormat="1" applyFont="1" applyFill="1" applyBorder="1" applyAlignment="1">
      <alignment horizontal="left" vertical="center" wrapText="1" indent="1"/>
    </xf>
    <xf numFmtId="43" fontId="2" fillId="33" borderId="11" xfId="42" applyNumberFormat="1" applyFont="1" applyFill="1" applyBorder="1" applyAlignment="1">
      <alignment horizontal="right" vertical="center" wrapText="1"/>
    </xf>
    <xf numFmtId="43" fontId="1" fillId="33" borderId="11" xfId="52" applyNumberFormat="1" applyFont="1" applyFill="1" applyBorder="1" applyAlignment="1">
      <alignment horizontal="left" vertical="center" wrapText="1"/>
    </xf>
    <xf numFmtId="164" fontId="26" fillId="37" borderId="11" xfId="0" applyNumberFormat="1" applyFont="1" applyFill="1" applyBorder="1" applyAlignment="1">
      <alignment horizontal="left" vertical="center" wrapText="1"/>
    </xf>
    <xf numFmtId="43" fontId="26" fillId="37" borderId="11" xfId="42" applyNumberFormat="1" applyFont="1" applyFill="1" applyBorder="1" applyAlignment="1">
      <alignment horizontal="right" vertical="center" wrapText="1"/>
    </xf>
    <xf numFmtId="43" fontId="26" fillId="37" borderId="11" xfId="52" applyNumberFormat="1" applyFont="1" applyFill="1" applyBorder="1" applyAlignment="1">
      <alignment horizontal="right" vertical="center" wrapText="1"/>
    </xf>
    <xf numFmtId="43" fontId="2" fillId="33" borderId="0" xfId="0" applyNumberFormat="1" applyFont="1" applyFill="1" applyAlignment="1">
      <alignment/>
    </xf>
    <xf numFmtId="44" fontId="2" fillId="33" borderId="0" xfId="42" applyFont="1" applyFill="1" applyAlignment="1">
      <alignment/>
    </xf>
    <xf numFmtId="43" fontId="2" fillId="0" borderId="16" xfId="51" applyFont="1" applyFill="1" applyBorder="1" applyAlignment="1">
      <alignment/>
    </xf>
    <xf numFmtId="43" fontId="1" fillId="0" borderId="16" xfId="51" applyFont="1" applyFill="1" applyBorder="1" applyAlignment="1">
      <alignment horizontal="left"/>
    </xf>
    <xf numFmtId="43" fontId="2" fillId="0" borderId="16" xfId="51" applyFont="1" applyFill="1" applyBorder="1" applyAlignment="1">
      <alignment horizontal="left"/>
    </xf>
    <xf numFmtId="43" fontId="2" fillId="0" borderId="16" xfId="51" applyFont="1" applyFill="1" applyBorder="1" applyAlignment="1">
      <alignment horizontal="center"/>
    </xf>
    <xf numFmtId="43" fontId="1" fillId="0" borderId="16" xfId="51" applyFont="1" applyFill="1" applyBorder="1" applyAlignment="1">
      <alignment/>
    </xf>
    <xf numFmtId="43" fontId="1" fillId="0" borderId="16" xfId="51" applyFont="1" applyFill="1" applyBorder="1" applyAlignment="1">
      <alignment horizontal="center"/>
    </xf>
    <xf numFmtId="164" fontId="2" fillId="33" borderId="22" xfId="0" applyNumberFormat="1" applyFont="1" applyFill="1" applyBorder="1" applyAlignment="1">
      <alignment horizontal="left" vertical="center" wrapText="1" indent="2"/>
    </xf>
    <xf numFmtId="164" fontId="2" fillId="33" borderId="21" xfId="0" applyNumberFormat="1" applyFont="1" applyFill="1" applyBorder="1" applyAlignment="1">
      <alignment horizontal="left" vertical="center" wrapText="1" indent="1"/>
    </xf>
    <xf numFmtId="164" fontId="1" fillId="34" borderId="16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3" fontId="1" fillId="0" borderId="16" xfId="51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3" fontId="2" fillId="33" borderId="0" xfId="42" applyNumberFormat="1" applyFont="1" applyFill="1" applyAlignment="1">
      <alignment/>
    </xf>
    <xf numFmtId="43" fontId="2" fillId="0" borderId="16" xfId="42" applyNumberFormat="1" applyFont="1" applyFill="1" applyBorder="1" applyAlignment="1">
      <alignment horizontal="center" vertical="center" wrapText="1"/>
    </xf>
    <xf numFmtId="0" fontId="82" fillId="33" borderId="0" xfId="0" applyFont="1" applyFill="1" applyAlignment="1">
      <alignment/>
    </xf>
    <xf numFmtId="0" fontId="82" fillId="33" borderId="0" xfId="0" applyFont="1" applyFill="1" applyAlignment="1">
      <alignment horizontal="center"/>
    </xf>
    <xf numFmtId="0" fontId="2" fillId="0" borderId="16" xfId="0" applyFont="1" applyBorder="1" applyAlignment="1">
      <alignment horizontal="center" vertical="center"/>
    </xf>
    <xf numFmtId="43" fontId="1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2" fillId="0" borderId="16" xfId="51" applyFont="1" applyFill="1" applyBorder="1" applyAlignment="1">
      <alignment/>
    </xf>
    <xf numFmtId="43" fontId="1" fillId="33" borderId="16" xfId="42" applyNumberFormat="1" applyFont="1" applyFill="1" applyBorder="1" applyAlignment="1">
      <alignment horizontal="center" vertical="center" wrapText="1"/>
    </xf>
    <xf numFmtId="43" fontId="2" fillId="33" borderId="20" xfId="52" applyNumberFormat="1" applyFont="1" applyFill="1" applyBorder="1" applyAlignment="1">
      <alignment horizontal="left" vertical="center" wrapText="1" indent="1"/>
    </xf>
    <xf numFmtId="43" fontId="1" fillId="0" borderId="11" xfId="42" applyNumberFormat="1" applyFont="1" applyFill="1" applyBorder="1" applyAlignment="1">
      <alignment horizontal="center" vertical="center" wrapText="1"/>
    </xf>
    <xf numFmtId="43" fontId="2" fillId="0" borderId="11" xfId="52" applyNumberFormat="1" applyFont="1" applyFill="1" applyBorder="1" applyAlignment="1">
      <alignment horizontal="left" vertical="center" wrapText="1" indent="1"/>
    </xf>
    <xf numFmtId="43" fontId="2" fillId="0" borderId="16" xfId="52" applyNumberFormat="1" applyFont="1" applyFill="1" applyBorder="1" applyAlignment="1">
      <alignment horizontal="left" vertical="center" wrapText="1" indent="1"/>
    </xf>
    <xf numFmtId="43" fontId="2" fillId="0" borderId="21" xfId="52" applyNumberFormat="1" applyFont="1" applyFill="1" applyBorder="1" applyAlignment="1">
      <alignment horizontal="left" vertical="center" wrapText="1" indent="1"/>
    </xf>
    <xf numFmtId="43" fontId="2" fillId="0" borderId="23" xfId="52" applyNumberFormat="1" applyFont="1" applyFill="1" applyBorder="1" applyAlignment="1">
      <alignment horizontal="left" vertical="center" wrapText="1" indent="1"/>
    </xf>
    <xf numFmtId="43" fontId="2" fillId="0" borderId="16" xfId="52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 horizontal="left" vertical="center" wrapText="1" indent="1"/>
    </xf>
    <xf numFmtId="164" fontId="28" fillId="33" borderId="19" xfId="0" applyNumberFormat="1" applyFont="1" applyFill="1" applyBorder="1" applyAlignment="1">
      <alignment horizontal="center" vertical="center" wrapText="1"/>
    </xf>
    <xf numFmtId="164" fontId="1" fillId="34" borderId="19" xfId="0" applyNumberFormat="1" applyFont="1" applyFill="1" applyBorder="1" applyAlignment="1">
      <alignment horizontal="left" vertical="center" wrapText="1"/>
    </xf>
    <xf numFmtId="164" fontId="1" fillId="33" borderId="19" xfId="0" applyNumberFormat="1" applyFont="1" applyFill="1" applyBorder="1" applyAlignment="1">
      <alignment horizontal="left" vertical="center" wrapText="1"/>
    </xf>
    <xf numFmtId="164" fontId="2" fillId="33" borderId="19" xfId="0" applyNumberFormat="1" applyFont="1" applyFill="1" applyBorder="1" applyAlignment="1">
      <alignment horizontal="left" vertical="center" wrapText="1" indent="1"/>
    </xf>
    <xf numFmtId="164" fontId="2" fillId="33" borderId="24" xfId="0" applyNumberFormat="1" applyFont="1" applyFill="1" applyBorder="1" applyAlignment="1">
      <alignment horizontal="left" vertical="center" wrapText="1" indent="1"/>
    </xf>
    <xf numFmtId="164" fontId="1" fillId="34" borderId="20" xfId="0" applyNumberFormat="1" applyFont="1" applyFill="1" applyBorder="1" applyAlignment="1">
      <alignment horizontal="center" vertical="center" wrapText="1"/>
    </xf>
    <xf numFmtId="164" fontId="1" fillId="33" borderId="20" xfId="0" applyNumberFormat="1" applyFont="1" applyFill="1" applyBorder="1" applyAlignment="1">
      <alignment horizontal="left" vertical="center" wrapText="1"/>
    </xf>
    <xf numFmtId="164" fontId="2" fillId="33" borderId="20" xfId="0" applyNumberFormat="1" applyFont="1" applyFill="1" applyBorder="1" applyAlignment="1">
      <alignment horizontal="left" vertical="center" wrapText="1"/>
    </xf>
    <xf numFmtId="164" fontId="1" fillId="34" borderId="20" xfId="0" applyNumberFormat="1" applyFont="1" applyFill="1" applyBorder="1" applyAlignment="1">
      <alignment horizontal="left" vertical="center" wrapText="1"/>
    </xf>
    <xf numFmtId="164" fontId="28" fillId="34" borderId="20" xfId="0" applyNumberFormat="1" applyFont="1" applyFill="1" applyBorder="1" applyAlignment="1">
      <alignment horizontal="center" vertical="center" wrapText="1"/>
    </xf>
    <xf numFmtId="43" fontId="2" fillId="0" borderId="23" xfId="42" applyNumberFormat="1" applyFont="1" applyFill="1" applyBorder="1" applyAlignment="1">
      <alignment horizontal="center" vertical="center" wrapText="1"/>
    </xf>
    <xf numFmtId="43" fontId="28" fillId="33" borderId="16" xfId="42" applyNumberFormat="1" applyFont="1" applyFill="1" applyBorder="1" applyAlignment="1">
      <alignment horizontal="center" vertical="center" wrapText="1"/>
    </xf>
    <xf numFmtId="43" fontId="1" fillId="34" borderId="16" xfId="42" applyNumberFormat="1" applyFont="1" applyFill="1" applyBorder="1" applyAlignment="1">
      <alignment horizontal="center" vertical="center" wrapText="1"/>
    </xf>
    <xf numFmtId="43" fontId="28" fillId="34" borderId="16" xfId="42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43" fontId="2" fillId="33" borderId="21" xfId="42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3" fontId="1" fillId="38" borderId="16" xfId="42" applyNumberFormat="1" applyFont="1" applyFill="1" applyBorder="1" applyAlignment="1">
      <alignment horizontal="center" vertical="center" wrapText="1"/>
    </xf>
    <xf numFmtId="43" fontId="2" fillId="34" borderId="11" xfId="42" applyNumberFormat="1" applyFont="1" applyFill="1" applyBorder="1" applyAlignment="1">
      <alignment horizontal="center" vertical="center" wrapText="1"/>
    </xf>
    <xf numFmtId="43" fontId="2" fillId="0" borderId="19" xfId="51" applyFont="1" applyBorder="1" applyAlignment="1">
      <alignment/>
    </xf>
    <xf numFmtId="43" fontId="2" fillId="0" borderId="17" xfId="51" applyFont="1" applyBorder="1" applyAlignment="1">
      <alignment/>
    </xf>
    <xf numFmtId="43" fontId="2" fillId="0" borderId="18" xfId="51" applyFont="1" applyBorder="1" applyAlignment="1">
      <alignment/>
    </xf>
    <xf numFmtId="4" fontId="29" fillId="0" borderId="16" xfId="0" applyNumberFormat="1" applyFont="1" applyBorder="1" applyAlignment="1">
      <alignment horizontal="right" vertical="center" wrapText="1"/>
    </xf>
    <xf numFmtId="43" fontId="82" fillId="33" borderId="0" xfId="0" applyNumberFormat="1" applyFont="1" applyFill="1" applyAlignment="1">
      <alignment horizontal="center"/>
    </xf>
    <xf numFmtId="43" fontId="82" fillId="33" borderId="0" xfId="0" applyNumberFormat="1" applyFont="1" applyFill="1" applyAlignment="1">
      <alignment/>
    </xf>
    <xf numFmtId="195" fontId="2" fillId="0" borderId="0" xfId="42" applyNumberFormat="1" applyFont="1" applyAlignment="1">
      <alignment/>
    </xf>
    <xf numFmtId="176" fontId="30" fillId="0" borderId="0" xfId="42" applyNumberFormat="1" applyFont="1" applyAlignment="1">
      <alignment/>
    </xf>
    <xf numFmtId="196" fontId="2" fillId="0" borderId="0" xfId="42" applyNumberFormat="1" applyFont="1" applyAlignment="1">
      <alignment/>
    </xf>
    <xf numFmtId="176" fontId="2" fillId="0" borderId="0" xfId="42" applyNumberFormat="1" applyFont="1" applyAlignment="1">
      <alignment/>
    </xf>
    <xf numFmtId="43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4" fontId="2" fillId="0" borderId="0" xfId="42" applyFont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top" wrapText="1"/>
    </xf>
    <xf numFmtId="43" fontId="2" fillId="33" borderId="0" xfId="0" applyNumberFormat="1" applyFont="1" applyFill="1" applyBorder="1" applyAlignment="1">
      <alignment horizontal="center"/>
    </xf>
    <xf numFmtId="43" fontId="2" fillId="33" borderId="0" xfId="4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164" fontId="1" fillId="33" borderId="16" xfId="0" applyNumberFormat="1" applyFont="1" applyFill="1" applyBorder="1" applyAlignment="1">
      <alignment horizontal="center" vertical="center" wrapText="1"/>
    </xf>
    <xf numFmtId="43" fontId="2" fillId="33" borderId="16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left" vertical="center" wrapText="1"/>
    </xf>
    <xf numFmtId="43" fontId="83" fillId="33" borderId="16" xfId="42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left" vertical="center" wrapText="1" indent="1"/>
    </xf>
    <xf numFmtId="43" fontId="83" fillId="33" borderId="16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 applyProtection="1">
      <alignment/>
      <protection/>
    </xf>
    <xf numFmtId="4" fontId="2" fillId="33" borderId="16" xfId="0" applyNumberFormat="1" applyFont="1" applyFill="1" applyBorder="1" applyAlignment="1" applyProtection="1">
      <alignment/>
      <protection/>
    </xf>
    <xf numFmtId="4" fontId="2" fillId="33" borderId="16" xfId="71" applyNumberFormat="1" applyFont="1" applyFill="1" applyBorder="1" applyProtection="1">
      <alignment/>
      <protection locked="0"/>
    </xf>
    <xf numFmtId="164" fontId="1" fillId="33" borderId="16" xfId="0" applyNumberFormat="1" applyFont="1" applyFill="1" applyBorder="1" applyAlignment="1">
      <alignment horizontal="left" vertical="center" wrapText="1" indent="1"/>
    </xf>
    <xf numFmtId="43" fontId="1" fillId="33" borderId="16" xfId="0" applyNumberFormat="1" applyFont="1" applyFill="1" applyBorder="1" applyAlignment="1">
      <alignment horizontal="center" vertical="center" wrapText="1"/>
    </xf>
    <xf numFmtId="164" fontId="2" fillId="33" borderId="16" xfId="0" applyNumberFormat="1" applyFont="1" applyFill="1" applyBorder="1" applyAlignment="1">
      <alignment horizontal="left" vertical="center" wrapText="1" indent="3"/>
    </xf>
    <xf numFmtId="39" fontId="1" fillId="33" borderId="16" xfId="0" applyNumberFormat="1" applyFont="1" applyFill="1" applyBorder="1" applyAlignment="1" applyProtection="1">
      <alignment/>
      <protection locked="0"/>
    </xf>
    <xf numFmtId="164" fontId="2" fillId="33" borderId="16" xfId="0" applyNumberFormat="1" applyFont="1" applyFill="1" applyBorder="1" applyAlignment="1">
      <alignment horizontal="left" vertical="center" wrapText="1"/>
    </xf>
    <xf numFmtId="164" fontId="2" fillId="33" borderId="16" xfId="0" applyNumberFormat="1" applyFont="1" applyFill="1" applyBorder="1" applyAlignment="1">
      <alignment horizontal="left" vertical="center" wrapText="1" indent="2"/>
    </xf>
    <xf numFmtId="43" fontId="22" fillId="33" borderId="16" xfId="0" applyNumberFormat="1" applyFont="1" applyFill="1" applyBorder="1" applyAlignment="1">
      <alignment horizontal="center" vertical="center" wrapText="1"/>
    </xf>
    <xf numFmtId="43" fontId="22" fillId="33" borderId="16" xfId="42" applyNumberFormat="1" applyFont="1" applyFill="1" applyBorder="1" applyAlignment="1">
      <alignment horizontal="center" vertical="center" wrapText="1"/>
    </xf>
    <xf numFmtId="164" fontId="23" fillId="33" borderId="16" xfId="0" applyNumberFormat="1" applyFont="1" applyFill="1" applyBorder="1" applyAlignment="1">
      <alignment horizontal="center" vertical="center" wrapText="1"/>
    </xf>
    <xf numFmtId="43" fontId="23" fillId="33" borderId="16" xfId="0" applyNumberFormat="1" applyFont="1" applyFill="1" applyBorder="1" applyAlignment="1">
      <alignment horizontal="center" vertical="center" wrapText="1"/>
    </xf>
    <xf numFmtId="44" fontId="1" fillId="33" borderId="0" xfId="42" applyFont="1" applyFill="1" applyAlignment="1">
      <alignment/>
    </xf>
    <xf numFmtId="39" fontId="2" fillId="33" borderId="16" xfId="0" applyNumberFormat="1" applyFont="1" applyFill="1" applyBorder="1" applyAlignment="1" applyProtection="1">
      <alignment/>
      <protection locked="0"/>
    </xf>
    <xf numFmtId="0" fontId="84" fillId="39" borderId="25" xfId="0" applyFont="1" applyFill="1" applyBorder="1" applyAlignment="1">
      <alignment vertical="center" wrapText="1"/>
    </xf>
    <xf numFmtId="0" fontId="85" fillId="39" borderId="25" xfId="0" applyFont="1" applyFill="1" applyBorder="1" applyAlignment="1">
      <alignment horizontal="right" vertical="center" wrapText="1"/>
    </xf>
    <xf numFmtId="44" fontId="85" fillId="39" borderId="25" xfId="42" applyFont="1" applyFill="1" applyBorder="1" applyAlignment="1">
      <alignment horizontal="center" vertical="center" wrapText="1"/>
    </xf>
    <xf numFmtId="182" fontId="86" fillId="39" borderId="25" xfId="42" applyNumberFormat="1" applyFont="1" applyFill="1" applyBorder="1" applyAlignment="1">
      <alignment horizontal="right" vertical="center" wrapText="1"/>
    </xf>
    <xf numFmtId="182" fontId="87" fillId="39" borderId="25" xfId="42" applyNumberFormat="1" applyFont="1" applyFill="1" applyBorder="1" applyAlignment="1">
      <alignment horizontal="center" vertical="center" wrapText="1"/>
    </xf>
    <xf numFmtId="182" fontId="84" fillId="39" borderId="25" xfId="42" applyNumberFormat="1" applyFont="1" applyFill="1" applyBorder="1" applyAlignment="1">
      <alignment horizontal="right" vertical="center" wrapText="1"/>
    </xf>
    <xf numFmtId="0" fontId="86" fillId="39" borderId="25" xfId="0" applyFont="1" applyFill="1" applyBorder="1" applyAlignment="1">
      <alignment vertical="center" wrapText="1"/>
    </xf>
    <xf numFmtId="182" fontId="86" fillId="39" borderId="25" xfId="42" applyNumberFormat="1" applyFont="1" applyFill="1" applyBorder="1" applyAlignment="1">
      <alignment horizontal="center" vertical="center" wrapText="1"/>
    </xf>
    <xf numFmtId="182" fontId="88" fillId="39" borderId="25" xfId="42" applyNumberFormat="1" applyFont="1" applyFill="1" applyBorder="1" applyAlignment="1">
      <alignment horizontal="center" vertical="center" wrapText="1"/>
    </xf>
    <xf numFmtId="44" fontId="88" fillId="39" borderId="25" xfId="42" applyFont="1" applyFill="1" applyBorder="1" applyAlignment="1">
      <alignment horizontal="center" vertical="center" wrapText="1"/>
    </xf>
    <xf numFmtId="182" fontId="84" fillId="39" borderId="25" xfId="42" applyNumberFormat="1" applyFont="1" applyFill="1" applyBorder="1" applyAlignment="1">
      <alignment horizontal="center" vertical="center" wrapText="1"/>
    </xf>
    <xf numFmtId="182" fontId="88" fillId="33" borderId="25" xfId="42" applyNumberFormat="1" applyFont="1" applyFill="1" applyBorder="1" applyAlignment="1">
      <alignment horizontal="center" vertical="center" wrapText="1"/>
    </xf>
    <xf numFmtId="44" fontId="86" fillId="39" borderId="25" xfId="42" applyFont="1" applyFill="1" applyBorder="1" applyAlignment="1">
      <alignment horizontal="center" vertical="center" wrapText="1"/>
    </xf>
    <xf numFmtId="0" fontId="88" fillId="39" borderId="25" xfId="0" applyFont="1" applyFill="1" applyBorder="1" applyAlignment="1">
      <alignment vertical="center" wrapText="1"/>
    </xf>
    <xf numFmtId="44" fontId="84" fillId="39" borderId="25" xfId="42" applyFont="1" applyFill="1" applyBorder="1" applyAlignment="1">
      <alignment horizontal="center" vertical="center" wrapText="1"/>
    </xf>
    <xf numFmtId="44" fontId="84" fillId="40" borderId="25" xfId="42" applyFont="1" applyFill="1" applyBorder="1" applyAlignment="1">
      <alignment horizontal="center" vertical="center" wrapText="1"/>
    </xf>
    <xf numFmtId="182" fontId="84" fillId="40" borderId="25" xfId="42" applyNumberFormat="1" applyFont="1" applyFill="1" applyBorder="1" applyAlignment="1">
      <alignment horizontal="center" vertical="center" wrapText="1"/>
    </xf>
    <xf numFmtId="182" fontId="86" fillId="40" borderId="25" xfId="42" applyNumberFormat="1" applyFont="1" applyFill="1" applyBorder="1" applyAlignment="1">
      <alignment horizontal="right" vertical="center" wrapText="1"/>
    </xf>
    <xf numFmtId="3" fontId="84" fillId="41" borderId="25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44" fontId="33" fillId="0" borderId="0" xfId="42" applyFont="1" applyAlignment="1">
      <alignment horizontal="center"/>
    </xf>
    <xf numFmtId="0" fontId="33" fillId="0" borderId="0" xfId="0" applyFont="1" applyAlignment="1">
      <alignment horizontal="center"/>
    </xf>
    <xf numFmtId="43" fontId="33" fillId="0" borderId="0" xfId="42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3" fontId="33" fillId="0" borderId="0" xfId="0" applyNumberFormat="1" applyFont="1" applyAlignment="1">
      <alignment horizontal="center"/>
    </xf>
    <xf numFmtId="43" fontId="89" fillId="0" borderId="0" xfId="0" applyNumberFormat="1" applyFont="1" applyAlignment="1">
      <alignment horizontal="center"/>
    </xf>
    <xf numFmtId="43" fontId="33" fillId="0" borderId="0" xfId="42" applyNumberFormat="1" applyFont="1" applyAlignment="1">
      <alignment/>
    </xf>
    <xf numFmtId="43" fontId="33" fillId="0" borderId="0" xfId="0" applyNumberFormat="1" applyFont="1" applyAlignment="1">
      <alignment/>
    </xf>
    <xf numFmtId="182" fontId="84" fillId="39" borderId="0" xfId="42" applyNumberFormat="1" applyFont="1" applyFill="1" applyBorder="1" applyAlignment="1">
      <alignment horizontal="right" vertical="center" wrapText="1"/>
    </xf>
    <xf numFmtId="182" fontId="86" fillId="39" borderId="0" xfId="42" applyNumberFormat="1" applyFont="1" applyFill="1" applyBorder="1" applyAlignment="1">
      <alignment horizontal="right" vertical="center" wrapText="1"/>
    </xf>
    <xf numFmtId="3" fontId="84" fillId="41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Border="1" applyAlignment="1">
      <alignment horizontal="left" vertical="center" wrapText="1" indent="1"/>
    </xf>
    <xf numFmtId="0" fontId="84" fillId="42" borderId="25" xfId="0" applyFont="1" applyFill="1" applyBorder="1" applyAlignment="1">
      <alignment vertical="center" wrapText="1"/>
    </xf>
    <xf numFmtId="182" fontId="84" fillId="42" borderId="25" xfId="42" applyNumberFormat="1" applyFont="1" applyFill="1" applyBorder="1" applyAlignment="1">
      <alignment horizontal="center" vertical="center" wrapText="1"/>
    </xf>
    <xf numFmtId="182" fontId="84" fillId="42" borderId="25" xfId="42" applyNumberFormat="1" applyFont="1" applyFill="1" applyBorder="1" applyAlignment="1">
      <alignment horizontal="right" vertical="center" wrapText="1"/>
    </xf>
    <xf numFmtId="164" fontId="1" fillId="42" borderId="11" xfId="0" applyNumberFormat="1" applyFont="1" applyFill="1" applyBorder="1" applyAlignment="1">
      <alignment horizontal="left" vertical="center" wrapText="1"/>
    </xf>
    <xf numFmtId="0" fontId="33" fillId="42" borderId="0" xfId="0" applyFont="1" applyFill="1" applyAlignment="1">
      <alignment/>
    </xf>
    <xf numFmtId="39" fontId="33" fillId="0" borderId="0" xfId="42" applyNumberFormat="1" applyFont="1" applyAlignment="1">
      <alignment/>
    </xf>
    <xf numFmtId="39" fontId="84" fillId="39" borderId="25" xfId="42" applyNumberFormat="1" applyFont="1" applyFill="1" applyBorder="1" applyAlignment="1">
      <alignment horizontal="right" vertical="center" wrapText="1"/>
    </xf>
    <xf numFmtId="39" fontId="86" fillId="39" borderId="25" xfId="42" applyNumberFormat="1" applyFont="1" applyFill="1" applyBorder="1" applyAlignment="1">
      <alignment horizontal="right" vertical="center" wrapText="1"/>
    </xf>
    <xf numFmtId="39" fontId="84" fillId="41" borderId="25" xfId="42" applyNumberFormat="1" applyFont="1" applyFill="1" applyBorder="1" applyAlignment="1">
      <alignment horizontal="right" vertical="center" wrapText="1"/>
    </xf>
    <xf numFmtId="0" fontId="90" fillId="43" borderId="26" xfId="0" applyFont="1" applyFill="1" applyBorder="1" applyAlignment="1">
      <alignment vertical="center" wrapText="1"/>
    </xf>
    <xf numFmtId="1" fontId="90" fillId="43" borderId="26" xfId="42" applyNumberFormat="1" applyFont="1" applyFill="1" applyBorder="1" applyAlignment="1">
      <alignment horizontal="center" vertical="center" wrapText="1"/>
    </xf>
    <xf numFmtId="0" fontId="90" fillId="43" borderId="26" xfId="0" applyFont="1" applyFill="1" applyBorder="1" applyAlignment="1">
      <alignment horizontal="center" vertical="center" wrapText="1"/>
    </xf>
    <xf numFmtId="0" fontId="90" fillId="43" borderId="0" xfId="0" applyFont="1" applyFill="1" applyAlignment="1">
      <alignment/>
    </xf>
    <xf numFmtId="14" fontId="90" fillId="43" borderId="0" xfId="0" applyNumberFormat="1" applyFont="1" applyFill="1" applyAlignment="1">
      <alignment horizontal="center" vertical="center"/>
    </xf>
    <xf numFmtId="39" fontId="90" fillId="43" borderId="0" xfId="42" applyNumberFormat="1" applyFont="1" applyFill="1" applyAlignment="1">
      <alignment/>
    </xf>
    <xf numFmtId="43" fontId="33" fillId="44" borderId="0" xfId="42" applyNumberFormat="1" applyFont="1" applyFill="1" applyAlignment="1">
      <alignment horizontal="center"/>
    </xf>
    <xf numFmtId="39" fontId="33" fillId="0" borderId="0" xfId="0" applyNumberFormat="1" applyFont="1" applyAlignment="1">
      <alignment/>
    </xf>
    <xf numFmtId="43" fontId="84" fillId="39" borderId="25" xfId="42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3" fontId="91" fillId="33" borderId="16" xfId="52" applyNumberFormat="1" applyFont="1" applyFill="1" applyBorder="1" applyAlignment="1">
      <alignment horizontal="left" vertical="center" wrapText="1" indent="1"/>
    </xf>
    <xf numFmtId="43" fontId="91" fillId="0" borderId="11" xfId="52" applyNumberFormat="1" applyFont="1" applyFill="1" applyBorder="1" applyAlignment="1">
      <alignment horizontal="left" vertical="center" wrapText="1" indent="1"/>
    </xf>
    <xf numFmtId="43" fontId="82" fillId="33" borderId="0" xfId="52" applyNumberFormat="1" applyFont="1" applyFill="1" applyAlignment="1">
      <alignment/>
    </xf>
    <xf numFmtId="0" fontId="82" fillId="33" borderId="0" xfId="0" applyFont="1" applyFill="1" applyBorder="1" applyAlignment="1">
      <alignment/>
    </xf>
    <xf numFmtId="43" fontId="82" fillId="33" borderId="0" xfId="0" applyNumberFormat="1" applyFont="1" applyFill="1" applyBorder="1" applyAlignment="1">
      <alignment/>
    </xf>
    <xf numFmtId="0" fontId="92" fillId="33" borderId="0" xfId="0" applyFont="1" applyFill="1" applyBorder="1" applyAlignment="1">
      <alignment/>
    </xf>
    <xf numFmtId="44" fontId="82" fillId="33" borderId="0" xfId="42" applyFont="1" applyFill="1" applyBorder="1" applyAlignment="1">
      <alignment/>
    </xf>
    <xf numFmtId="43" fontId="93" fillId="33" borderId="0" xfId="0" applyNumberFormat="1" applyFont="1" applyFill="1" applyBorder="1" applyAlignment="1">
      <alignment horizontal="center"/>
    </xf>
    <xf numFmtId="0" fontId="93" fillId="33" borderId="0" xfId="0" applyFont="1" applyFill="1" applyBorder="1" applyAlignment="1">
      <alignment horizontal="center"/>
    </xf>
    <xf numFmtId="44" fontId="92" fillId="33" borderId="0" xfId="42" applyFont="1" applyFill="1" applyBorder="1" applyAlignment="1">
      <alignment/>
    </xf>
    <xf numFmtId="0" fontId="94" fillId="33" borderId="0" xfId="0" applyFont="1" applyFill="1" applyBorder="1" applyAlignment="1">
      <alignment/>
    </xf>
    <xf numFmtId="44" fontId="94" fillId="33" borderId="0" xfId="42" applyFont="1" applyFill="1" applyBorder="1" applyAlignment="1">
      <alignment/>
    </xf>
    <xf numFmtId="43" fontId="82" fillId="33" borderId="0" xfId="42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43" fontId="2" fillId="0" borderId="10" xfId="5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3" fontId="2" fillId="0" borderId="12" xfId="5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43" fontId="12" fillId="0" borderId="12" xfId="62" applyNumberFormat="1" applyBorder="1" applyAlignment="1" applyProtection="1">
      <alignment horizontal="left" vertical="center"/>
      <protection/>
    </xf>
    <xf numFmtId="43" fontId="13" fillId="0" borderId="12" xfId="51" applyFont="1" applyBorder="1" applyAlignment="1">
      <alignment horizontal="left" vertical="center"/>
    </xf>
    <xf numFmtId="0" fontId="95" fillId="0" borderId="15" xfId="0" applyFont="1" applyBorder="1" applyAlignment="1">
      <alignment/>
    </xf>
    <xf numFmtId="0" fontId="19" fillId="0" borderId="0" xfId="0" applyFont="1" applyAlignment="1">
      <alignment wrapText="1"/>
    </xf>
    <xf numFmtId="0" fontId="96" fillId="36" borderId="0" xfId="0" applyFont="1" applyFill="1" applyAlignment="1">
      <alignment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3" fontId="2" fillId="0" borderId="16" xfId="5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3" fontId="2" fillId="0" borderId="19" xfId="51" applyFont="1" applyBorder="1" applyAlignment="1">
      <alignment horizontal="center"/>
    </xf>
    <xf numFmtId="43" fontId="2" fillId="0" borderId="17" xfId="5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3" fontId="1" fillId="0" borderId="19" xfId="51" applyFont="1" applyBorder="1" applyAlignment="1">
      <alignment horizontal="center"/>
    </xf>
    <xf numFmtId="43" fontId="1" fillId="0" borderId="17" xfId="5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3" fontId="2" fillId="0" borderId="28" xfId="51" applyFont="1" applyBorder="1" applyAlignment="1">
      <alignment horizontal="center"/>
    </xf>
    <xf numFmtId="43" fontId="2" fillId="0" borderId="29" xfId="5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1" fillId="0" borderId="19" xfId="51" applyFont="1" applyBorder="1" applyAlignment="1">
      <alignment horizontal="left"/>
    </xf>
    <xf numFmtId="43" fontId="1" fillId="0" borderId="17" xfId="51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left" wrapText="1" shrinkToFit="1"/>
    </xf>
    <xf numFmtId="0" fontId="2" fillId="0" borderId="17" xfId="0" applyFont="1" applyBorder="1" applyAlignment="1">
      <alignment horizontal="left" wrapText="1" shrinkToFit="1"/>
    </xf>
    <xf numFmtId="0" fontId="2" fillId="0" borderId="0" xfId="0" applyFont="1" applyBorder="1" applyAlignment="1">
      <alignment horizontal="center" vertical="center" wrapText="1"/>
    </xf>
    <xf numFmtId="43" fontId="2" fillId="0" borderId="0" xfId="5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" xfId="52"/>
    <cellStyle name="Currency [0]" xfId="53"/>
    <cellStyle name="Currency 2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2 2" xfId="67"/>
    <cellStyle name="Normal 3" xfId="68"/>
    <cellStyle name="Normal 5" xfId="69"/>
    <cellStyle name="Normal 6" xfId="70"/>
    <cellStyle name="Normal_report   ub city 00-08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Percent 5" xfId="78"/>
    <cellStyle name="Percent 6" xfId="79"/>
    <cellStyle name="Title" xfId="80"/>
    <cellStyle name="Total" xfId="81"/>
    <cellStyle name="Warning Text" xfId="8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RD%20CREDIT\ARDCREDIT-dotood\TAILANGUUD\2020\2020-12\A%20jiliin%20etses%20balan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Google%20Drive\AFG\2.ArdCredit%202022\Balance\Tailan\202212\GL%202022123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Google%20Drive\AFG\2.ArdCredit%202022\Audit%20-d\Auditlagdsan\Balance%202021-IV%20auditlagds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Google%20Drive\AFG\2.ArdCredit%202022\Balance\Tailan\202212\Guilgee%20balance%2020220101-123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ubaudit-my.sharepoint.com/personal/azjargal_u_mn_gt_com/Documents/Microsoft%20Teams%20Chat%20Files/CF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zjargal.u\Downloads\Telegram%20Desktop\M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Face2"/>
      <sheetName val="Balance"/>
      <sheetName val="IS"/>
      <sheetName val="Equity"/>
      <sheetName val="cash"/>
      <sheetName val="1"/>
      <sheetName val="2"/>
      <sheetName val="3-6"/>
      <sheetName val="7-12"/>
      <sheetName val="13-16"/>
      <sheetName val="17-21"/>
      <sheetName val="22"/>
    </sheetNames>
    <sheetDataSet>
      <sheetData sheetId="5">
        <row r="3">
          <cell r="A3" t="str">
            <v>"АРД КРЕДИТ ББСБ" ХХК</v>
          </cell>
        </row>
        <row r="4">
          <cell r="A4" t="str">
            <v>(Аж ахуйн нэгж, байгууллагын нэр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Sheet7"/>
      <sheetName val="GL"/>
      <sheetName val="Sheet2"/>
      <sheetName val="хүү ор piv"/>
      <sheetName val="хүү орлого 81"/>
      <sheetName val="хувийн сектор"/>
      <sheetName val="хүү орлого бга"/>
      <sheetName val="ЭСан"/>
      <sheetName val="loan"/>
      <sheetName val="Tranches "/>
      <sheetName val="Sheet3"/>
      <sheetName val="dor pivot"/>
      <sheetName val="Dot dans"/>
      <sheetName val="Sheet1"/>
      <sheetName val="sourse"/>
    </sheetNames>
    <sheetDataSet>
      <sheetData sheetId="2">
        <row r="8">
          <cell r="G8">
            <v>504178.71</v>
          </cell>
        </row>
        <row r="9">
          <cell r="G9">
            <v>242522.51</v>
          </cell>
        </row>
        <row r="12">
          <cell r="G12">
            <v>3555878215.83</v>
          </cell>
        </row>
        <row r="13">
          <cell r="G13">
            <v>1238850.26</v>
          </cell>
        </row>
        <row r="14">
          <cell r="G14">
            <v>10838014.95</v>
          </cell>
        </row>
        <row r="15">
          <cell r="G15">
            <v>18808671.81</v>
          </cell>
        </row>
        <row r="16">
          <cell r="G16">
            <v>186208488.67</v>
          </cell>
        </row>
        <row r="17">
          <cell r="G17">
            <v>512413.06</v>
          </cell>
        </row>
        <row r="18">
          <cell r="G18">
            <v>36000</v>
          </cell>
        </row>
        <row r="19">
          <cell r="G19">
            <v>265515</v>
          </cell>
        </row>
        <row r="20">
          <cell r="G20">
            <v>802736.47</v>
          </cell>
        </row>
        <row r="21">
          <cell r="G21">
            <v>766497.5</v>
          </cell>
        </row>
        <row r="22">
          <cell r="G22">
            <v>861114.33</v>
          </cell>
        </row>
        <row r="23">
          <cell r="G23">
            <v>14005200</v>
          </cell>
        </row>
        <row r="24">
          <cell r="G24">
            <v>4208958.54</v>
          </cell>
        </row>
        <row r="25">
          <cell r="G25">
            <v>263950528.32</v>
          </cell>
        </row>
        <row r="26">
          <cell r="G26">
            <v>100604.53</v>
          </cell>
        </row>
        <row r="27">
          <cell r="G27">
            <v>9999.98</v>
          </cell>
        </row>
        <row r="31">
          <cell r="G31">
            <v>2812231853.01</v>
          </cell>
        </row>
        <row r="32">
          <cell r="G32">
            <v>508376963</v>
          </cell>
        </row>
        <row r="33">
          <cell r="G33">
            <v>42900000.4</v>
          </cell>
        </row>
        <row r="34">
          <cell r="G34">
            <v>280951994.84</v>
          </cell>
        </row>
        <row r="40">
          <cell r="H40">
            <v>498932962.19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үүр"/>
      <sheetName val="Хавсралт"/>
      <sheetName val="СБД"/>
      <sheetName val="ОДТ"/>
      <sheetName val="ӨӨТ"/>
      <sheetName val="МГТ"/>
      <sheetName val="1"/>
      <sheetName val="2"/>
      <sheetName val="3-6"/>
      <sheetName val="7-12"/>
      <sheetName val="13-16"/>
      <sheetName val="17-21"/>
      <sheetName val="22"/>
    </sheetNames>
    <sheetDataSet>
      <sheetData sheetId="2">
        <row r="101">
          <cell r="C101">
            <v>17801865131.5</v>
          </cell>
        </row>
        <row r="103">
          <cell r="C103">
            <v>561000000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237">
          <cell r="G237">
            <v>-23613333.33</v>
          </cell>
        </row>
        <row r="238">
          <cell r="D238">
            <v>791305.36</v>
          </cell>
          <cell r="E238">
            <v>-233380700.43</v>
          </cell>
          <cell r="G238">
            <v>-336599400.45</v>
          </cell>
        </row>
        <row r="239">
          <cell r="G239">
            <v>-67437700.2</v>
          </cell>
        </row>
        <row r="240">
          <cell r="G240">
            <v>-40758992.61</v>
          </cell>
        </row>
        <row r="241">
          <cell r="G241">
            <v>-23829431.8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</sheetNames>
    <sheetDataSet>
      <sheetData sheetId="0">
        <row r="7">
          <cell r="C7">
            <v>95763020</v>
          </cell>
        </row>
        <row r="8">
          <cell r="C8">
            <v>13683046</v>
          </cell>
        </row>
        <row r="9">
          <cell r="C9">
            <v>11788785</v>
          </cell>
        </row>
        <row r="10">
          <cell r="C10">
            <v>2763557</v>
          </cell>
        </row>
        <row r="11">
          <cell r="C11">
            <v>6142473</v>
          </cell>
        </row>
        <row r="15">
          <cell r="C15">
            <v>-94897581</v>
          </cell>
        </row>
        <row r="16">
          <cell r="C16">
            <v>-15643165</v>
          </cell>
        </row>
        <row r="17">
          <cell r="C17">
            <v>-2647225</v>
          </cell>
        </row>
        <row r="18">
          <cell r="C18">
            <v>-795651</v>
          </cell>
        </row>
        <row r="19">
          <cell r="C19">
            <v>-14001</v>
          </cell>
        </row>
        <row r="21">
          <cell r="C21">
            <v>-966586</v>
          </cell>
        </row>
        <row r="22">
          <cell r="C22">
            <v>-626720</v>
          </cell>
        </row>
        <row r="23">
          <cell r="C23">
            <v>-28657</v>
          </cell>
        </row>
        <row r="24">
          <cell r="C24">
            <v>-269029</v>
          </cell>
        </row>
        <row r="25">
          <cell r="C25">
            <v>-46258</v>
          </cell>
        </row>
        <row r="26">
          <cell r="C26">
            <v>-2052080</v>
          </cell>
        </row>
        <row r="28">
          <cell r="C28">
            <v>-38894</v>
          </cell>
        </row>
        <row r="29">
          <cell r="C29">
            <v>-4487</v>
          </cell>
        </row>
        <row r="39">
          <cell r="C39">
            <v>25103</v>
          </cell>
        </row>
        <row r="40">
          <cell r="C40">
            <v>547214</v>
          </cell>
        </row>
        <row r="60">
          <cell r="C60">
            <v>-1160508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ГТ"/>
    </sheetNames>
    <sheetDataSet>
      <sheetData sheetId="0">
        <row r="37">
          <cell r="D37">
            <v>25947460</v>
          </cell>
        </row>
        <row r="39">
          <cell r="D39">
            <v>85516758.91</v>
          </cell>
        </row>
        <row r="41">
          <cell r="D41">
            <v>20020879</v>
          </cell>
        </row>
        <row r="45">
          <cell r="D45">
            <v>1134554362.67</v>
          </cell>
        </row>
        <row r="49">
          <cell r="D49">
            <v>107037397226.28</v>
          </cell>
        </row>
        <row r="57">
          <cell r="D57">
            <v>25261526.63</v>
          </cell>
        </row>
        <row r="59">
          <cell r="D59">
            <v>19686666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serennadmid.h@ardcredit.com" TargetMode="External" /><Relationship Id="rId2" Type="http://schemas.openxmlformats.org/officeDocument/2006/relationships/hyperlink" Target="mailto:telmen.g@ardcredit.com" TargetMode="Externa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zoomScale="96" zoomScaleNormal="96" zoomScaleSheetLayoutView="100" workbookViewId="0" topLeftCell="A109">
      <selection activeCell="C21" sqref="C21"/>
    </sheetView>
  </sheetViews>
  <sheetFormatPr defaultColWidth="9.140625" defaultRowHeight="12.75"/>
  <cols>
    <col min="1" max="1" width="55.140625" style="195" bestFit="1" customWidth="1"/>
    <col min="2" max="3" width="21.00390625" style="197" customWidth="1"/>
    <col min="4" max="5" width="18.28125" style="302" bestFit="1" customWidth="1"/>
    <col min="6" max="6" width="18.57421875" style="302" customWidth="1"/>
    <col min="7" max="16384" width="9.140625" style="195" customWidth="1"/>
  </cols>
  <sheetData>
    <row r="1" spans="1:3" ht="12.75">
      <c r="A1" s="221"/>
      <c r="B1" s="315" t="s">
        <v>321</v>
      </c>
      <c r="C1" s="315"/>
    </row>
    <row r="2" spans="2:3" ht="12.75">
      <c r="B2" s="315" t="s">
        <v>322</v>
      </c>
      <c r="C2" s="315"/>
    </row>
    <row r="3" spans="1:3" ht="12.75">
      <c r="A3" s="216" t="s">
        <v>156</v>
      </c>
      <c r="B3" s="221"/>
      <c r="C3" s="216" t="s">
        <v>158</v>
      </c>
    </row>
    <row r="4" spans="1:3" ht="12.75">
      <c r="A4" s="316" t="s">
        <v>157</v>
      </c>
      <c r="B4" s="316"/>
      <c r="C4" s="316"/>
    </row>
    <row r="5" spans="1:3" ht="12.75">
      <c r="A5" s="217"/>
      <c r="B5" s="217"/>
      <c r="C5" s="217"/>
    </row>
    <row r="6" spans="1:3" ht="12.75">
      <c r="A6" s="195" t="s">
        <v>547</v>
      </c>
      <c r="C6" s="218" t="s">
        <v>485</v>
      </c>
    </row>
    <row r="7" spans="1:3" ht="12.75">
      <c r="A7" s="314" t="s">
        <v>325</v>
      </c>
      <c r="B7" s="200" t="s">
        <v>1</v>
      </c>
      <c r="C7" s="200" t="s">
        <v>2</v>
      </c>
    </row>
    <row r="8" spans="1:3" ht="12.75">
      <c r="A8" s="314"/>
      <c r="B8" s="225" t="s">
        <v>501</v>
      </c>
      <c r="C8" s="225" t="s">
        <v>548</v>
      </c>
    </row>
    <row r="9" spans="1:3" ht="12.75">
      <c r="A9" s="226" t="s">
        <v>5</v>
      </c>
      <c r="B9" s="227" t="s">
        <v>3</v>
      </c>
      <c r="C9" s="227" t="s">
        <v>3</v>
      </c>
    </row>
    <row r="10" spans="1:3" ht="12.75">
      <c r="A10" s="226" t="s">
        <v>6</v>
      </c>
      <c r="B10" s="227" t="s">
        <v>3</v>
      </c>
      <c r="C10" s="227" t="s">
        <v>3</v>
      </c>
    </row>
    <row r="11" spans="1:4" ht="12.75">
      <c r="A11" s="228" t="s">
        <v>28</v>
      </c>
      <c r="B11" s="229">
        <v>5027667551.5199995</v>
      </c>
      <c r="C11" s="229">
        <v>6751683075.85</v>
      </c>
      <c r="D11" s="303">
        <f>+C11-B11</f>
        <v>1724015524.3300009</v>
      </c>
    </row>
    <row r="12" spans="1:4" ht="12.75">
      <c r="A12" s="230" t="s">
        <v>29</v>
      </c>
      <c r="B12" s="114">
        <v>48932551.75</v>
      </c>
      <c r="C12" s="114">
        <v>4178618.77</v>
      </c>
      <c r="D12" s="303">
        <f aca="true" t="shared" si="0" ref="D12:D75">+C12-B12</f>
        <v>-44753932.98</v>
      </c>
    </row>
    <row r="13" spans="1:4" ht="13.5" customHeight="1">
      <c r="A13" s="230" t="s">
        <v>30</v>
      </c>
      <c r="B13" s="114">
        <v>4978724999.79</v>
      </c>
      <c r="C13" s="114">
        <v>6747504457.08</v>
      </c>
      <c r="D13" s="303">
        <f t="shared" si="0"/>
        <v>1768779457.29</v>
      </c>
    </row>
    <row r="14" spans="1:4" ht="14.25" customHeight="1">
      <c r="A14" s="230" t="s">
        <v>31</v>
      </c>
      <c r="B14" s="227">
        <v>9999.98</v>
      </c>
      <c r="C14" s="227"/>
      <c r="D14" s="303">
        <f t="shared" si="0"/>
        <v>-9999.98</v>
      </c>
    </row>
    <row r="15" spans="1:6" s="222" customFormat="1" ht="12.75">
      <c r="A15" s="228" t="s">
        <v>32</v>
      </c>
      <c r="B15" s="231">
        <v>3644460811.2500005</v>
      </c>
      <c r="C15" s="231">
        <v>2592142790.77</v>
      </c>
      <c r="D15" s="303">
        <f t="shared" si="0"/>
        <v>-1052318020.4800005</v>
      </c>
      <c r="E15" s="304"/>
      <c r="F15" s="304"/>
    </row>
    <row r="16" spans="1:4" ht="12.75">
      <c r="A16" s="230" t="s">
        <v>33</v>
      </c>
      <c r="B16" s="227"/>
      <c r="C16" s="227"/>
      <c r="D16" s="303">
        <f t="shared" si="0"/>
        <v>0</v>
      </c>
    </row>
    <row r="17" spans="1:4" ht="12.75">
      <c r="A17" s="230" t="s">
        <v>34</v>
      </c>
      <c r="B17" s="227">
        <v>2855131853.4100003</v>
      </c>
      <c r="C17" s="227">
        <v>1922549844.59</v>
      </c>
      <c r="D17" s="303">
        <f t="shared" si="0"/>
        <v>-932582008.8200004</v>
      </c>
    </row>
    <row r="18" spans="1:4" ht="12.75">
      <c r="A18" s="230" t="s">
        <v>35</v>
      </c>
      <c r="B18" s="227">
        <v>280951994.84</v>
      </c>
      <c r="C18" s="227">
        <v>161215983.18</v>
      </c>
      <c r="D18" s="303">
        <f t="shared" si="0"/>
        <v>-119736011.65999997</v>
      </c>
    </row>
    <row r="19" spans="1:4" ht="25.5">
      <c r="A19" s="230" t="s">
        <v>36</v>
      </c>
      <c r="B19" s="227"/>
      <c r="C19" s="227"/>
      <c r="D19" s="303">
        <f t="shared" si="0"/>
        <v>0</v>
      </c>
    </row>
    <row r="20" spans="1:4" ht="12.75">
      <c r="A20" s="230" t="s">
        <v>536</v>
      </c>
      <c r="B20" s="227">
        <v>508376963</v>
      </c>
      <c r="C20" s="227">
        <v>508376963</v>
      </c>
      <c r="D20" s="303">
        <f t="shared" si="0"/>
        <v>0</v>
      </c>
    </row>
    <row r="21" spans="1:4" ht="12.75">
      <c r="A21" s="228" t="s">
        <v>37</v>
      </c>
      <c r="B21" s="229">
        <v>40038097735.26</v>
      </c>
      <c r="C21" s="229">
        <v>42653413660.12999</v>
      </c>
      <c r="D21" s="303">
        <f t="shared" si="0"/>
        <v>2615315924.8699875</v>
      </c>
    </row>
    <row r="22" spans="1:6" s="222" customFormat="1" ht="12.75">
      <c r="A22" s="228" t="s">
        <v>38</v>
      </c>
      <c r="B22" s="232">
        <v>41797842421.62</v>
      </c>
      <c r="C22" s="232">
        <v>44085706090.59999</v>
      </c>
      <c r="D22" s="303">
        <f t="shared" si="0"/>
        <v>2287863668.979988</v>
      </c>
      <c r="E22" s="304"/>
      <c r="F22" s="304"/>
    </row>
    <row r="23" spans="1:4" ht="12.75">
      <c r="A23" s="230" t="s">
        <v>39</v>
      </c>
      <c r="B23" s="233">
        <v>36266543680.01</v>
      </c>
      <c r="C23" s="233">
        <v>38423182846.77</v>
      </c>
      <c r="D23" s="303">
        <f t="shared" si="0"/>
        <v>2156639166.7599945</v>
      </c>
    </row>
    <row r="24" spans="1:4" ht="12.75">
      <c r="A24" s="230" t="s">
        <v>40</v>
      </c>
      <c r="B24" s="234">
        <v>2277384453.87</v>
      </c>
      <c r="C24" s="234">
        <v>2657405594.27</v>
      </c>
      <c r="D24" s="303">
        <f t="shared" si="0"/>
        <v>380021140.4000001</v>
      </c>
    </row>
    <row r="25" spans="1:4" ht="12.75">
      <c r="A25" s="235" t="s">
        <v>41</v>
      </c>
      <c r="B25" s="236">
        <v>3253914287.74</v>
      </c>
      <c r="C25" s="236">
        <v>3005117649.56</v>
      </c>
      <c r="D25" s="303">
        <f t="shared" si="0"/>
        <v>-248796638.17999983</v>
      </c>
    </row>
    <row r="26" spans="1:4" ht="12.75">
      <c r="A26" s="237" t="s">
        <v>42</v>
      </c>
      <c r="B26" s="227">
        <v>2689399112.44</v>
      </c>
      <c r="C26" s="227">
        <v>1753931694.76</v>
      </c>
      <c r="D26" s="303">
        <f t="shared" si="0"/>
        <v>-935467417.6800001</v>
      </c>
    </row>
    <row r="27" spans="1:4" ht="12.75">
      <c r="A27" s="237" t="s">
        <v>43</v>
      </c>
      <c r="B27" s="227">
        <v>241135068.35</v>
      </c>
      <c r="C27" s="227">
        <v>1133519177.7</v>
      </c>
      <c r="D27" s="303">
        <f t="shared" si="0"/>
        <v>892384109.35</v>
      </c>
    </row>
    <row r="28" spans="1:4" ht="12.75">
      <c r="A28" s="237" t="s">
        <v>44</v>
      </c>
      <c r="B28" s="234">
        <v>323380106.95</v>
      </c>
      <c r="C28" s="234">
        <v>117666777.1</v>
      </c>
      <c r="D28" s="303">
        <f t="shared" si="0"/>
        <v>-205713329.85</v>
      </c>
    </row>
    <row r="29" spans="1:4" ht="12.75">
      <c r="A29" s="230" t="s">
        <v>45</v>
      </c>
      <c r="B29" s="238">
        <v>-1759744686.36</v>
      </c>
      <c r="C29" s="246">
        <v>-1432292430.47</v>
      </c>
      <c r="D29" s="303">
        <f t="shared" si="0"/>
        <v>327452255.88999987</v>
      </c>
    </row>
    <row r="30" spans="1:4" ht="25.5">
      <c r="A30" s="228" t="s">
        <v>46</v>
      </c>
      <c r="B30" s="236"/>
      <c r="C30" s="236">
        <v>0</v>
      </c>
      <c r="D30" s="303">
        <f t="shared" si="0"/>
        <v>0</v>
      </c>
    </row>
    <row r="31" spans="1:4" ht="13.5" customHeight="1">
      <c r="A31" s="228" t="s">
        <v>47</v>
      </c>
      <c r="B31" s="236">
        <v>0</v>
      </c>
      <c r="C31" s="236">
        <v>0</v>
      </c>
      <c r="D31" s="303">
        <f t="shared" si="0"/>
        <v>0</v>
      </c>
    </row>
    <row r="32" spans="1:4" ht="25.5">
      <c r="A32" s="230" t="s">
        <v>48</v>
      </c>
      <c r="B32" s="227" t="s">
        <v>3</v>
      </c>
      <c r="C32" s="227" t="s">
        <v>3</v>
      </c>
      <c r="D32" s="303" t="e">
        <f t="shared" si="0"/>
        <v>#VALUE!</v>
      </c>
    </row>
    <row r="33" spans="1:4" ht="12.75" customHeight="1">
      <c r="A33" s="230" t="s">
        <v>49</v>
      </c>
      <c r="B33" s="227" t="s">
        <v>3</v>
      </c>
      <c r="C33" s="227" t="s">
        <v>3</v>
      </c>
      <c r="D33" s="303" t="e">
        <f t="shared" si="0"/>
        <v>#VALUE!</v>
      </c>
    </row>
    <row r="34" spans="1:4" ht="25.5">
      <c r="A34" s="235" t="s">
        <v>50</v>
      </c>
      <c r="B34" s="236">
        <v>0</v>
      </c>
      <c r="C34" s="236">
        <v>0</v>
      </c>
      <c r="D34" s="303">
        <f t="shared" si="0"/>
        <v>0</v>
      </c>
    </row>
    <row r="35" spans="1:4" ht="25.5">
      <c r="A35" s="237" t="s">
        <v>51</v>
      </c>
      <c r="B35" s="227" t="s">
        <v>3</v>
      </c>
      <c r="C35" s="227" t="s">
        <v>3</v>
      </c>
      <c r="D35" s="303" t="e">
        <f t="shared" si="0"/>
        <v>#VALUE!</v>
      </c>
    </row>
    <row r="36" spans="1:4" ht="12.75" customHeight="1">
      <c r="A36" s="237" t="s">
        <v>52</v>
      </c>
      <c r="B36" s="227" t="s">
        <v>3</v>
      </c>
      <c r="C36" s="227" t="s">
        <v>3</v>
      </c>
      <c r="D36" s="303" t="e">
        <f t="shared" si="0"/>
        <v>#VALUE!</v>
      </c>
    </row>
    <row r="37" spans="1:4" ht="12.75">
      <c r="A37" s="237" t="s">
        <v>53</v>
      </c>
      <c r="B37" s="227" t="s">
        <v>3</v>
      </c>
      <c r="C37" s="227" t="s">
        <v>3</v>
      </c>
      <c r="D37" s="303" t="e">
        <f t="shared" si="0"/>
        <v>#VALUE!</v>
      </c>
    </row>
    <row r="38" spans="1:4" ht="25.5">
      <c r="A38" s="228" t="s">
        <v>54</v>
      </c>
      <c r="B38" s="236">
        <v>0</v>
      </c>
      <c r="C38" s="236">
        <v>0</v>
      </c>
      <c r="D38" s="303">
        <f t="shared" si="0"/>
        <v>0</v>
      </c>
    </row>
    <row r="39" spans="1:4" ht="25.5">
      <c r="A39" s="230" t="s">
        <v>55</v>
      </c>
      <c r="B39" s="227" t="s">
        <v>3</v>
      </c>
      <c r="C39" s="227" t="s">
        <v>3</v>
      </c>
      <c r="D39" s="303" t="e">
        <f t="shared" si="0"/>
        <v>#VALUE!</v>
      </c>
    </row>
    <row r="40" spans="1:4" ht="25.5">
      <c r="A40" s="230" t="s">
        <v>56</v>
      </c>
      <c r="B40" s="227" t="s">
        <v>3</v>
      </c>
      <c r="C40" s="227" t="s">
        <v>3</v>
      </c>
      <c r="D40" s="303" t="e">
        <f t="shared" si="0"/>
        <v>#VALUE!</v>
      </c>
    </row>
    <row r="41" spans="1:4" ht="25.5">
      <c r="A41" s="235" t="s">
        <v>57</v>
      </c>
      <c r="B41" s="236">
        <v>0</v>
      </c>
      <c r="C41" s="236">
        <v>0</v>
      </c>
      <c r="D41" s="303">
        <f t="shared" si="0"/>
        <v>0</v>
      </c>
    </row>
    <row r="42" spans="1:4" ht="25.5">
      <c r="A42" s="237" t="s">
        <v>58</v>
      </c>
      <c r="B42" s="227" t="s">
        <v>3</v>
      </c>
      <c r="C42" s="227" t="s">
        <v>3</v>
      </c>
      <c r="D42" s="303" t="e">
        <f t="shared" si="0"/>
        <v>#VALUE!</v>
      </c>
    </row>
    <row r="43" spans="1:4" ht="25.5">
      <c r="A43" s="237" t="s">
        <v>59</v>
      </c>
      <c r="B43" s="227" t="s">
        <v>3</v>
      </c>
      <c r="C43" s="227" t="s">
        <v>3</v>
      </c>
      <c r="D43" s="303" t="e">
        <f t="shared" si="0"/>
        <v>#VALUE!</v>
      </c>
    </row>
    <row r="44" spans="1:4" ht="12.75">
      <c r="A44" s="237" t="s">
        <v>60</v>
      </c>
      <c r="B44" s="227" t="s">
        <v>3</v>
      </c>
      <c r="C44" s="227" t="s">
        <v>3</v>
      </c>
      <c r="D44" s="303" t="e">
        <f t="shared" si="0"/>
        <v>#VALUE!</v>
      </c>
    </row>
    <row r="45" spans="1:4" ht="12.75">
      <c r="A45" s="239" t="s">
        <v>487</v>
      </c>
      <c r="B45" s="227"/>
      <c r="C45" s="227"/>
      <c r="D45" s="303">
        <f t="shared" si="0"/>
        <v>0</v>
      </c>
    </row>
    <row r="46" spans="1:6" s="222" customFormat="1" ht="12.75">
      <c r="A46" s="228" t="s">
        <v>61</v>
      </c>
      <c r="B46" s="236">
        <v>0</v>
      </c>
      <c r="C46" s="236">
        <v>0</v>
      </c>
      <c r="D46" s="303">
        <f t="shared" si="0"/>
        <v>0</v>
      </c>
      <c r="E46" s="304"/>
      <c r="F46" s="304"/>
    </row>
    <row r="47" spans="1:4" ht="25.5">
      <c r="A47" s="228" t="s">
        <v>62</v>
      </c>
      <c r="B47" s="227">
        <v>0</v>
      </c>
      <c r="C47" s="227">
        <v>0</v>
      </c>
      <c r="D47" s="303">
        <f t="shared" si="0"/>
        <v>0</v>
      </c>
    </row>
    <row r="48" spans="1:4" ht="25.5">
      <c r="A48" s="230" t="s">
        <v>63</v>
      </c>
      <c r="B48" s="227" t="s">
        <v>3</v>
      </c>
      <c r="C48" s="227" t="s">
        <v>3</v>
      </c>
      <c r="D48" s="303" t="e">
        <f t="shared" si="0"/>
        <v>#VALUE!</v>
      </c>
    </row>
    <row r="49" spans="1:4" ht="25.5">
      <c r="A49" s="230" t="s">
        <v>64</v>
      </c>
      <c r="B49" s="227" t="s">
        <v>3</v>
      </c>
      <c r="C49" s="227" t="s">
        <v>3</v>
      </c>
      <c r="D49" s="303" t="e">
        <f t="shared" si="0"/>
        <v>#VALUE!</v>
      </c>
    </row>
    <row r="50" spans="1:6" s="222" customFormat="1" ht="12.75">
      <c r="A50" s="235" t="s">
        <v>65</v>
      </c>
      <c r="B50" s="236">
        <v>0</v>
      </c>
      <c r="C50" s="236">
        <v>0</v>
      </c>
      <c r="D50" s="303">
        <f t="shared" si="0"/>
        <v>0</v>
      </c>
      <c r="E50" s="304"/>
      <c r="F50" s="304"/>
    </row>
    <row r="51" spans="1:4" ht="25.5">
      <c r="A51" s="237" t="s">
        <v>66</v>
      </c>
      <c r="B51" s="227" t="s">
        <v>3</v>
      </c>
      <c r="C51" s="227" t="s">
        <v>3</v>
      </c>
      <c r="D51" s="303" t="e">
        <f t="shared" si="0"/>
        <v>#VALUE!</v>
      </c>
    </row>
    <row r="52" spans="1:4" ht="25.5">
      <c r="A52" s="237" t="s">
        <v>67</v>
      </c>
      <c r="B52" s="227" t="s">
        <v>3</v>
      </c>
      <c r="C52" s="227" t="s">
        <v>3</v>
      </c>
      <c r="D52" s="303" t="e">
        <f t="shared" si="0"/>
        <v>#VALUE!</v>
      </c>
    </row>
    <row r="53" spans="1:4" ht="12.75">
      <c r="A53" s="237" t="s">
        <v>68</v>
      </c>
      <c r="B53" s="227" t="s">
        <v>3</v>
      </c>
      <c r="C53" s="227" t="s">
        <v>3</v>
      </c>
      <c r="D53" s="303" t="e">
        <f t="shared" si="0"/>
        <v>#VALUE!</v>
      </c>
    </row>
    <row r="54" spans="1:6" s="222" customFormat="1" ht="25.5">
      <c r="A54" s="228" t="s">
        <v>69</v>
      </c>
      <c r="B54" s="236">
        <v>0</v>
      </c>
      <c r="C54" s="236">
        <v>0</v>
      </c>
      <c r="D54" s="303">
        <f t="shared" si="0"/>
        <v>0</v>
      </c>
      <c r="E54" s="304"/>
      <c r="F54" s="304"/>
    </row>
    <row r="55" spans="1:4" ht="25.5">
      <c r="A55" s="230" t="s">
        <v>70</v>
      </c>
      <c r="B55" s="227" t="s">
        <v>3</v>
      </c>
      <c r="C55" s="227" t="s">
        <v>3</v>
      </c>
      <c r="D55" s="303" t="e">
        <f t="shared" si="0"/>
        <v>#VALUE!</v>
      </c>
    </row>
    <row r="56" spans="1:4" ht="25.5">
      <c r="A56" s="230" t="s">
        <v>71</v>
      </c>
      <c r="B56" s="227" t="s">
        <v>3</v>
      </c>
      <c r="C56" s="227" t="s">
        <v>3</v>
      </c>
      <c r="D56" s="303" t="e">
        <f t="shared" si="0"/>
        <v>#VALUE!</v>
      </c>
    </row>
    <row r="57" spans="1:6" s="222" customFormat="1" ht="12.75">
      <c r="A57" s="235" t="s">
        <v>72</v>
      </c>
      <c r="B57" s="236">
        <v>0</v>
      </c>
      <c r="C57" s="236">
        <v>0</v>
      </c>
      <c r="D57" s="303">
        <f t="shared" si="0"/>
        <v>0</v>
      </c>
      <c r="E57" s="304"/>
      <c r="F57" s="304"/>
    </row>
    <row r="58" spans="1:4" ht="25.5">
      <c r="A58" s="237" t="s">
        <v>73</v>
      </c>
      <c r="B58" s="227" t="s">
        <v>3</v>
      </c>
      <c r="C58" s="227" t="s">
        <v>3</v>
      </c>
      <c r="D58" s="303" t="e">
        <f t="shared" si="0"/>
        <v>#VALUE!</v>
      </c>
    </row>
    <row r="59" spans="1:4" ht="25.5">
      <c r="A59" s="237" t="s">
        <v>74</v>
      </c>
      <c r="B59" s="227" t="s">
        <v>3</v>
      </c>
      <c r="C59" s="227" t="s">
        <v>3</v>
      </c>
      <c r="D59" s="303" t="e">
        <f t="shared" si="0"/>
        <v>#VALUE!</v>
      </c>
    </row>
    <row r="60" spans="1:4" ht="12.75">
      <c r="A60" s="237" t="s">
        <v>75</v>
      </c>
      <c r="B60" s="227" t="s">
        <v>3</v>
      </c>
      <c r="C60" s="227" t="s">
        <v>3</v>
      </c>
      <c r="D60" s="303" t="e">
        <f t="shared" si="0"/>
        <v>#VALUE!</v>
      </c>
    </row>
    <row r="61" spans="1:4" ht="12.75">
      <c r="A61" s="239" t="s">
        <v>76</v>
      </c>
      <c r="B61" s="227"/>
      <c r="C61" s="227"/>
      <c r="D61" s="303">
        <f t="shared" si="0"/>
        <v>0</v>
      </c>
    </row>
    <row r="62" spans="1:4" ht="12.75">
      <c r="A62" s="228" t="s">
        <v>77</v>
      </c>
      <c r="B62" s="236" t="s">
        <v>3</v>
      </c>
      <c r="C62" s="236" t="s">
        <v>3</v>
      </c>
      <c r="D62" s="303" t="e">
        <f t="shared" si="0"/>
        <v>#VALUE!</v>
      </c>
    </row>
    <row r="63" spans="1:4" ht="12.75">
      <c r="A63" s="228" t="s">
        <v>78</v>
      </c>
      <c r="B63" s="229">
        <v>4683810939.82</v>
      </c>
      <c r="C63" s="229">
        <v>4976097952.43</v>
      </c>
      <c r="D63" s="303">
        <f t="shared" si="0"/>
        <v>292287012.6100006</v>
      </c>
    </row>
    <row r="64" spans="1:4" ht="12.75">
      <c r="A64" s="230" t="s">
        <v>79</v>
      </c>
      <c r="B64" s="227">
        <v>3725845027.4399996</v>
      </c>
      <c r="C64" s="227">
        <v>3712397107.07</v>
      </c>
      <c r="D64" s="303">
        <f t="shared" si="0"/>
        <v>-13447920.369999409</v>
      </c>
    </row>
    <row r="65" spans="1:4" ht="12.75">
      <c r="A65" s="230" t="s">
        <v>80</v>
      </c>
      <c r="B65" s="227">
        <v>-39107246.63</v>
      </c>
      <c r="C65" s="227">
        <v>-62424874.58</v>
      </c>
      <c r="D65" s="303">
        <f t="shared" si="0"/>
        <v>-23317627.949999996</v>
      </c>
    </row>
    <row r="66" spans="1:4" ht="12.75">
      <c r="A66" s="235" t="s">
        <v>81</v>
      </c>
      <c r="B66" s="172">
        <v>850737123.3</v>
      </c>
      <c r="C66" s="172">
        <v>1317816047.84</v>
      </c>
      <c r="D66" s="303">
        <f t="shared" si="0"/>
        <v>467078924.53999996</v>
      </c>
    </row>
    <row r="67" spans="1:4" ht="25.5">
      <c r="A67" s="240" t="s">
        <v>82</v>
      </c>
      <c r="B67" s="227">
        <v>732612884.42</v>
      </c>
      <c r="C67" s="227">
        <v>1138363993.05</v>
      </c>
      <c r="D67" s="303">
        <f t="shared" si="0"/>
        <v>405751108.63</v>
      </c>
    </row>
    <row r="68" spans="1:4" ht="25.5">
      <c r="A68" s="240" t="s">
        <v>83</v>
      </c>
      <c r="B68" s="227"/>
      <c r="C68" s="227"/>
      <c r="D68" s="303">
        <f t="shared" si="0"/>
        <v>0</v>
      </c>
    </row>
    <row r="69" spans="1:4" ht="25.5">
      <c r="A69" s="240" t="s">
        <v>84</v>
      </c>
      <c r="B69" s="227">
        <v>118124238.88</v>
      </c>
      <c r="C69" s="227">
        <v>179452054.79</v>
      </c>
      <c r="D69" s="303">
        <f t="shared" si="0"/>
        <v>61327815.91</v>
      </c>
    </row>
    <row r="70" spans="1:4" ht="25.5">
      <c r="A70" s="240" t="s">
        <v>85</v>
      </c>
      <c r="B70" s="227"/>
      <c r="C70" s="227"/>
      <c r="D70" s="303">
        <f t="shared" si="0"/>
        <v>0</v>
      </c>
    </row>
    <row r="71" spans="1:4" ht="12.75">
      <c r="A71" s="228" t="s">
        <v>86</v>
      </c>
      <c r="B71" s="227">
        <v>146336035.71</v>
      </c>
      <c r="C71" s="227">
        <v>8309672.1</v>
      </c>
      <c r="D71" s="303">
        <f t="shared" si="0"/>
        <v>-138026363.61</v>
      </c>
    </row>
    <row r="72" spans="1:4" ht="12.75">
      <c r="A72" s="228" t="s">
        <v>87</v>
      </c>
      <c r="B72" s="236">
        <v>3053111090.62</v>
      </c>
      <c r="C72" s="236">
        <v>4190836629.56</v>
      </c>
      <c r="D72" s="303">
        <f t="shared" si="0"/>
        <v>1137725538.94</v>
      </c>
    </row>
    <row r="73" spans="1:4" ht="12.75">
      <c r="A73" s="239" t="s">
        <v>88</v>
      </c>
      <c r="B73" s="114">
        <v>1622026763.77</v>
      </c>
      <c r="C73" s="114">
        <v>2867112002.12</v>
      </c>
      <c r="D73" s="303">
        <f t="shared" si="0"/>
        <v>1245085238.35</v>
      </c>
    </row>
    <row r="74" spans="1:4" ht="12.75">
      <c r="A74" s="228" t="s">
        <v>89</v>
      </c>
      <c r="B74" s="236">
        <v>952700000.0000001</v>
      </c>
      <c r="C74" s="236">
        <v>740352149</v>
      </c>
      <c r="D74" s="303">
        <f t="shared" si="0"/>
        <v>-212347851.00000012</v>
      </c>
    </row>
    <row r="75" spans="1:4" ht="12.75">
      <c r="A75" s="230" t="s">
        <v>90</v>
      </c>
      <c r="B75" s="227">
        <v>952700000</v>
      </c>
      <c r="C75" s="227">
        <v>950000000</v>
      </c>
      <c r="D75" s="303">
        <f t="shared" si="0"/>
        <v>-2700000</v>
      </c>
    </row>
    <row r="76" spans="1:4" ht="25.5">
      <c r="A76" s="230" t="s">
        <v>91</v>
      </c>
      <c r="B76" s="227"/>
      <c r="C76" s="227"/>
      <c r="D76" s="303">
        <f aca="true" t="shared" si="1" ref="D76:D139">+C76-B76</f>
        <v>0</v>
      </c>
    </row>
    <row r="77" spans="1:4" ht="25.5">
      <c r="A77" s="235" t="s">
        <v>92</v>
      </c>
      <c r="B77" s="236">
        <v>317295782.36</v>
      </c>
      <c r="C77" s="236">
        <v>107647931.36</v>
      </c>
      <c r="D77" s="303">
        <f t="shared" si="1"/>
        <v>-209647851</v>
      </c>
    </row>
    <row r="78" spans="1:4" ht="25.5">
      <c r="A78" s="237" t="s">
        <v>93</v>
      </c>
      <c r="B78" s="227"/>
      <c r="C78" s="227"/>
      <c r="D78" s="303">
        <f t="shared" si="1"/>
        <v>0</v>
      </c>
    </row>
    <row r="79" spans="1:4" ht="25.5">
      <c r="A79" s="237" t="s">
        <v>94</v>
      </c>
      <c r="B79" s="227"/>
      <c r="C79" s="227"/>
      <c r="D79" s="303">
        <f t="shared" si="1"/>
        <v>0</v>
      </c>
    </row>
    <row r="80" spans="1:4" ht="12.75">
      <c r="A80" s="237" t="s">
        <v>95</v>
      </c>
      <c r="B80" s="227">
        <v>317295782.36</v>
      </c>
      <c r="C80" s="227">
        <v>107647931.36</v>
      </c>
      <c r="D80" s="303">
        <f t="shared" si="1"/>
        <v>-209647851</v>
      </c>
    </row>
    <row r="81" spans="1:4" ht="25.5">
      <c r="A81" s="239" t="s">
        <v>96</v>
      </c>
      <c r="B81" s="227">
        <v>-317295782.36</v>
      </c>
      <c r="C81" s="227">
        <v>-317295782.36</v>
      </c>
      <c r="D81" s="303">
        <f t="shared" si="1"/>
        <v>0</v>
      </c>
    </row>
    <row r="82" spans="1:4" ht="12.75">
      <c r="A82" s="239" t="s">
        <v>97</v>
      </c>
      <c r="B82" s="227">
        <v>1904500</v>
      </c>
      <c r="C82" s="227">
        <v>7897883.69</v>
      </c>
      <c r="D82" s="303">
        <f t="shared" si="1"/>
        <v>5993383.69</v>
      </c>
    </row>
    <row r="83" spans="1:4" ht="12.75">
      <c r="A83" s="239" t="s">
        <v>98</v>
      </c>
      <c r="B83" s="227">
        <v>476479826.85</v>
      </c>
      <c r="C83" s="227">
        <v>575474594.75</v>
      </c>
      <c r="D83" s="303">
        <f t="shared" si="1"/>
        <v>98994767.89999998</v>
      </c>
    </row>
    <row r="84" spans="1:5" ht="12.75" customHeight="1">
      <c r="A84" s="228" t="s">
        <v>99</v>
      </c>
      <c r="B84" s="241">
        <v>56447148128.47</v>
      </c>
      <c r="C84" s="241">
        <v>61164174108.73998</v>
      </c>
      <c r="D84" s="303">
        <f t="shared" si="1"/>
        <v>4717025980.269981</v>
      </c>
      <c r="E84" s="305"/>
    </row>
    <row r="85" spans="1:5" ht="12.75">
      <c r="A85" s="226" t="s">
        <v>7</v>
      </c>
      <c r="B85" s="227" t="s">
        <v>3</v>
      </c>
      <c r="C85" s="227" t="s">
        <v>3</v>
      </c>
      <c r="D85" s="303" t="e">
        <f t="shared" si="1"/>
        <v>#VALUE!</v>
      </c>
      <c r="E85" s="305"/>
    </row>
    <row r="86" spans="1:4" ht="12.75">
      <c r="A86" s="228" t="s">
        <v>100</v>
      </c>
      <c r="B86" s="236">
        <v>938891946.5400002</v>
      </c>
      <c r="C86" s="236">
        <v>1011393642.68</v>
      </c>
      <c r="D86" s="303">
        <f t="shared" si="1"/>
        <v>72501696.13999975</v>
      </c>
    </row>
    <row r="87" spans="1:4" ht="12.75">
      <c r="A87" s="230" t="s">
        <v>101</v>
      </c>
      <c r="B87" s="114">
        <v>1074303124.93</v>
      </c>
      <c r="C87" s="114">
        <v>1223538824.93</v>
      </c>
      <c r="D87" s="303">
        <f t="shared" si="1"/>
        <v>149235700</v>
      </c>
    </row>
    <row r="88" spans="1:4" ht="12.75">
      <c r="A88" s="230" t="s">
        <v>102</v>
      </c>
      <c r="B88" s="114">
        <v>-360212733.78</v>
      </c>
      <c r="C88" s="114">
        <v>-483145257.68</v>
      </c>
      <c r="D88" s="303">
        <f t="shared" si="1"/>
        <v>-122932523.90000004</v>
      </c>
    </row>
    <row r="89" spans="1:4" ht="12.75">
      <c r="A89" s="230" t="s">
        <v>103</v>
      </c>
      <c r="B89" s="227">
        <v>72035058</v>
      </c>
      <c r="C89" s="227">
        <v>73904964.5</v>
      </c>
      <c r="D89" s="303">
        <f t="shared" si="1"/>
        <v>1869906.5</v>
      </c>
    </row>
    <row r="90" spans="1:4" ht="12.75">
      <c r="A90" s="230" t="s">
        <v>104</v>
      </c>
      <c r="B90" s="227">
        <v>-23829431.8</v>
      </c>
      <c r="C90" s="227">
        <v>-136284807.34</v>
      </c>
      <c r="D90" s="303">
        <f t="shared" si="1"/>
        <v>-112455375.54</v>
      </c>
    </row>
    <row r="91" spans="1:4" ht="12.75">
      <c r="A91" s="230" t="s">
        <v>105</v>
      </c>
      <c r="B91" s="227">
        <v>284792622</v>
      </c>
      <c r="C91" s="227">
        <v>361539298.4</v>
      </c>
      <c r="D91" s="303">
        <f t="shared" si="1"/>
        <v>76746676.39999998</v>
      </c>
    </row>
    <row r="92" spans="1:4" ht="12.75">
      <c r="A92" s="230" t="s">
        <v>106</v>
      </c>
      <c r="B92" s="227">
        <v>-108196692.81</v>
      </c>
      <c r="C92" s="227">
        <v>-28159380.13</v>
      </c>
      <c r="D92" s="303">
        <f t="shared" si="1"/>
        <v>80037312.68</v>
      </c>
    </row>
    <row r="93" spans="1:4" ht="12.75">
      <c r="A93" s="230" t="s">
        <v>107</v>
      </c>
      <c r="B93" s="227"/>
      <c r="C93" s="227"/>
      <c r="D93" s="303">
        <f t="shared" si="1"/>
        <v>0</v>
      </c>
    </row>
    <row r="94" spans="1:4" ht="12.75">
      <c r="A94" s="228" t="s">
        <v>108</v>
      </c>
      <c r="B94" s="172">
        <v>652706635.76</v>
      </c>
      <c r="C94" s="172">
        <v>846428346.9100001</v>
      </c>
      <c r="D94" s="303">
        <f t="shared" si="1"/>
        <v>193721711.1500001</v>
      </c>
    </row>
    <row r="95" spans="1:5" ht="12.75">
      <c r="A95" s="230" t="s">
        <v>109</v>
      </c>
      <c r="B95" s="114">
        <v>965119344.09</v>
      </c>
      <c r="C95" s="220">
        <v>1216404441.7</v>
      </c>
      <c r="D95" s="303">
        <f>+E95-B95</f>
        <v>-118690997.18000007</v>
      </c>
      <c r="E95" s="311">
        <v>846428346.91</v>
      </c>
    </row>
    <row r="96" spans="1:4" ht="12.75">
      <c r="A96" s="230" t="s">
        <v>110</v>
      </c>
      <c r="B96" s="114">
        <v>-312412708.33</v>
      </c>
      <c r="C96" s="114">
        <v>-369976094.79</v>
      </c>
      <c r="D96" s="303">
        <f t="shared" si="1"/>
        <v>-57563386.46000004</v>
      </c>
    </row>
    <row r="97" spans="1:5" ht="15">
      <c r="A97" s="228" t="s">
        <v>111</v>
      </c>
      <c r="B97" s="242">
        <v>1591598582.3000002</v>
      </c>
      <c r="C97" s="242">
        <v>1857821989.5900002</v>
      </c>
      <c r="D97" s="303">
        <f t="shared" si="1"/>
        <v>266223407.28999996</v>
      </c>
      <c r="E97" s="303">
        <f>+C95+C96</f>
        <v>846428346.9100001</v>
      </c>
    </row>
    <row r="98" spans="1:6" s="223" customFormat="1" ht="23.25" customHeight="1">
      <c r="A98" s="243" t="s">
        <v>112</v>
      </c>
      <c r="B98" s="244">
        <v>58038746710.770004</v>
      </c>
      <c r="C98" s="244">
        <v>63021996098.32999</v>
      </c>
      <c r="D98" s="303">
        <f t="shared" si="1"/>
        <v>4983249387.559982</v>
      </c>
      <c r="E98" s="306"/>
      <c r="F98" s="307"/>
    </row>
    <row r="99" spans="1:4" ht="12.75">
      <c r="A99" s="226" t="s">
        <v>8</v>
      </c>
      <c r="B99" s="227" t="s">
        <v>3</v>
      </c>
      <c r="C99" s="227" t="s">
        <v>3</v>
      </c>
      <c r="D99" s="303" t="e">
        <f t="shared" si="1"/>
        <v>#VALUE!</v>
      </c>
    </row>
    <row r="100" spans="1:4" ht="12.75">
      <c r="A100" s="228" t="s">
        <v>326</v>
      </c>
      <c r="B100" s="231">
        <v>17782874083.77</v>
      </c>
      <c r="C100" s="231">
        <v>18041419808.62</v>
      </c>
      <c r="D100" s="303">
        <f t="shared" si="1"/>
        <v>258545724.84999847</v>
      </c>
    </row>
    <row r="101" spans="1:4" ht="18" customHeight="1">
      <c r="A101" s="230" t="s">
        <v>113</v>
      </c>
      <c r="B101" s="227">
        <v>4550561000</v>
      </c>
      <c r="C101" s="227">
        <v>10476693048.08</v>
      </c>
      <c r="D101" s="303">
        <f t="shared" si="1"/>
        <v>5926132048.08</v>
      </c>
    </row>
    <row r="102" spans="1:4" ht="25.5">
      <c r="A102" s="230" t="s">
        <v>114</v>
      </c>
      <c r="B102" s="227"/>
      <c r="C102" s="227"/>
      <c r="D102" s="303">
        <f t="shared" si="1"/>
        <v>0</v>
      </c>
    </row>
    <row r="103" spans="1:4" ht="12.75">
      <c r="A103" s="230" t="s">
        <v>115</v>
      </c>
      <c r="B103" s="227">
        <v>6886000000</v>
      </c>
      <c r="C103" s="227">
        <v>3624000000</v>
      </c>
      <c r="D103" s="303">
        <f t="shared" si="1"/>
        <v>-3262000000</v>
      </c>
    </row>
    <row r="104" spans="1:4" ht="12.75">
      <c r="A104" s="230" t="s">
        <v>116</v>
      </c>
      <c r="B104" s="227"/>
      <c r="C104" s="227"/>
      <c r="D104" s="303">
        <f t="shared" si="1"/>
        <v>0</v>
      </c>
    </row>
    <row r="105" spans="1:4" ht="12.75">
      <c r="A105" s="230" t="s">
        <v>117</v>
      </c>
      <c r="B105" s="227">
        <v>6346313083.77</v>
      </c>
      <c r="C105" s="227">
        <v>3940726760.54</v>
      </c>
      <c r="D105" s="303">
        <f t="shared" si="1"/>
        <v>-2405586323.2300005</v>
      </c>
    </row>
    <row r="106" spans="1:4" ht="12.75">
      <c r="A106" s="228" t="s">
        <v>118</v>
      </c>
      <c r="B106" s="231">
        <v>13641276667.41</v>
      </c>
      <c r="C106" s="231">
        <v>14516874611.9</v>
      </c>
      <c r="D106" s="303">
        <f t="shared" si="1"/>
        <v>875597944.4899998</v>
      </c>
    </row>
    <row r="107" spans="1:4" ht="12.75">
      <c r="A107" s="230" t="s">
        <v>119</v>
      </c>
      <c r="B107" s="227">
        <v>13465657778.88</v>
      </c>
      <c r="C107" s="227">
        <v>14516874611.9</v>
      </c>
      <c r="D107" s="303">
        <f t="shared" si="1"/>
        <v>1051216833.0200005</v>
      </c>
    </row>
    <row r="108" spans="1:4" ht="12.75">
      <c r="A108" s="230" t="s">
        <v>120</v>
      </c>
      <c r="B108" s="227"/>
      <c r="C108" s="227"/>
      <c r="D108" s="303">
        <f t="shared" si="1"/>
        <v>0</v>
      </c>
    </row>
    <row r="109" spans="1:4" ht="12.75">
      <c r="A109" s="230" t="s">
        <v>121</v>
      </c>
      <c r="B109" s="227">
        <v>175618888.53</v>
      </c>
      <c r="C109" s="227"/>
      <c r="D109" s="303">
        <f t="shared" si="1"/>
        <v>-175618888.53</v>
      </c>
    </row>
    <row r="110" spans="1:4" ht="25.5">
      <c r="A110" s="230" t="s">
        <v>122</v>
      </c>
      <c r="B110" s="227"/>
      <c r="C110" s="227"/>
      <c r="D110" s="303">
        <f t="shared" si="1"/>
        <v>0</v>
      </c>
    </row>
    <row r="111" spans="1:4" ht="25.5">
      <c r="A111" s="230" t="s">
        <v>123</v>
      </c>
      <c r="B111" s="227"/>
      <c r="C111" s="227"/>
      <c r="D111" s="303">
        <f t="shared" si="1"/>
        <v>0</v>
      </c>
    </row>
    <row r="112" spans="1:4" ht="12.75">
      <c r="A112" s="228" t="s">
        <v>124</v>
      </c>
      <c r="B112" s="236">
        <v>8250272731.661251</v>
      </c>
      <c r="C112" s="236">
        <v>8919627462.550001</v>
      </c>
      <c r="D112" s="303">
        <f t="shared" si="1"/>
        <v>669354730.8887501</v>
      </c>
    </row>
    <row r="113" spans="1:4" ht="12.75">
      <c r="A113" s="228" t="s">
        <v>125</v>
      </c>
      <c r="B113" s="231">
        <v>2095871231.1399999</v>
      </c>
      <c r="C113" s="231">
        <v>2184084561.44</v>
      </c>
      <c r="D113" s="303">
        <f t="shared" si="1"/>
        <v>88213330.30000019</v>
      </c>
    </row>
    <row r="114" spans="1:4" ht="12.75">
      <c r="A114" s="230" t="s">
        <v>126</v>
      </c>
      <c r="B114" s="227">
        <v>1401701421.32</v>
      </c>
      <c r="C114" s="227">
        <v>1330059218.58</v>
      </c>
      <c r="D114" s="303">
        <f t="shared" si="1"/>
        <v>-71642202.74000001</v>
      </c>
    </row>
    <row r="115" spans="1:4" ht="25.5">
      <c r="A115" s="230" t="s">
        <v>127</v>
      </c>
      <c r="B115" s="227"/>
      <c r="C115" s="227"/>
      <c r="D115" s="303">
        <f t="shared" si="1"/>
        <v>0</v>
      </c>
    </row>
    <row r="116" spans="1:4" ht="12.75">
      <c r="A116" s="230" t="s">
        <v>128</v>
      </c>
      <c r="B116" s="227">
        <v>694169809.8199999</v>
      </c>
      <c r="C116" s="227">
        <v>854025342.86</v>
      </c>
      <c r="D116" s="303">
        <f t="shared" si="1"/>
        <v>159855533.04000008</v>
      </c>
    </row>
    <row r="117" spans="1:4" ht="12.75">
      <c r="A117" s="228" t="s">
        <v>129</v>
      </c>
      <c r="B117" s="236">
        <v>6154401500.521252</v>
      </c>
      <c r="C117" s="236">
        <v>6735542901.110001</v>
      </c>
      <c r="D117" s="303">
        <f t="shared" si="1"/>
        <v>581141400.5887489</v>
      </c>
    </row>
    <row r="118" spans="1:4" ht="12.75">
      <c r="A118" s="230" t="s">
        <v>130</v>
      </c>
      <c r="B118" s="227">
        <v>186867905.04</v>
      </c>
      <c r="C118" s="227">
        <v>329725971.17</v>
      </c>
      <c r="D118" s="303">
        <f t="shared" si="1"/>
        <v>142858066.13000003</v>
      </c>
    </row>
    <row r="119" spans="1:4" ht="12.75">
      <c r="A119" s="230" t="s">
        <v>131</v>
      </c>
      <c r="B119" s="227"/>
      <c r="C119" s="227"/>
      <c r="D119" s="303">
        <f t="shared" si="1"/>
        <v>0</v>
      </c>
    </row>
    <row r="120" spans="1:4" ht="12.75">
      <c r="A120" s="230" t="s">
        <v>132</v>
      </c>
      <c r="B120" s="227">
        <v>16572785.8</v>
      </c>
      <c r="C120" s="227">
        <v>63053719.58</v>
      </c>
      <c r="D120" s="303">
        <f t="shared" si="1"/>
        <v>46480933.78</v>
      </c>
    </row>
    <row r="121" spans="1:4" ht="12.75">
      <c r="A121" s="230" t="s">
        <v>133</v>
      </c>
      <c r="B121" s="227"/>
      <c r="C121" s="227"/>
      <c r="D121" s="303">
        <f t="shared" si="1"/>
        <v>0</v>
      </c>
    </row>
    <row r="122" spans="1:4" ht="12.75">
      <c r="A122" s="230" t="s">
        <v>134</v>
      </c>
      <c r="B122" s="227">
        <v>321844271.24</v>
      </c>
      <c r="C122" s="227">
        <v>149784333.15</v>
      </c>
      <c r="D122" s="303">
        <f t="shared" si="1"/>
        <v>-172059938.09</v>
      </c>
    </row>
    <row r="123" spans="1:4" ht="12.75">
      <c r="A123" s="230" t="s">
        <v>135</v>
      </c>
      <c r="B123" s="227">
        <v>513722477.2012515</v>
      </c>
      <c r="C123" s="227">
        <v>312548707.03000003</v>
      </c>
      <c r="D123" s="303">
        <f t="shared" si="1"/>
        <v>-201173770.17125148</v>
      </c>
    </row>
    <row r="124" spans="1:4" ht="12.75">
      <c r="A124" s="230" t="s">
        <v>136</v>
      </c>
      <c r="B124" s="227">
        <v>5115394061.24</v>
      </c>
      <c r="C124" s="227">
        <v>5880430170.18</v>
      </c>
      <c r="D124" s="303">
        <f t="shared" si="1"/>
        <v>765036108.9400005</v>
      </c>
    </row>
    <row r="125" spans="1:4" ht="15">
      <c r="A125" s="228" t="s">
        <v>137</v>
      </c>
      <c r="B125" s="241">
        <v>39674423482.84125</v>
      </c>
      <c r="C125" s="241">
        <v>41477921883.07</v>
      </c>
      <c r="D125" s="303">
        <f t="shared" si="1"/>
        <v>1803498400.2287521</v>
      </c>
    </row>
    <row r="126" spans="1:4" ht="12.75">
      <c r="A126" s="228" t="s">
        <v>327</v>
      </c>
      <c r="B126" s="236"/>
      <c r="C126" s="236"/>
      <c r="D126" s="303">
        <f t="shared" si="1"/>
        <v>0</v>
      </c>
    </row>
    <row r="127" spans="1:4" ht="12.75">
      <c r="A127" s="230" t="s">
        <v>138</v>
      </c>
      <c r="B127" s="227"/>
      <c r="C127" s="227">
        <v>2000000000</v>
      </c>
      <c r="D127" s="303">
        <f t="shared" si="1"/>
        <v>2000000000</v>
      </c>
    </row>
    <row r="128" spans="1:4" ht="26.25">
      <c r="A128" s="230" t="s">
        <v>139</v>
      </c>
      <c r="B128" s="227"/>
      <c r="C128" s="227"/>
      <c r="D128" s="303">
        <f t="shared" si="1"/>
        <v>0</v>
      </c>
    </row>
    <row r="129" spans="1:4" ht="12.75">
      <c r="A129" s="230" t="s">
        <v>140</v>
      </c>
      <c r="B129" s="227">
        <v>314901631.18</v>
      </c>
      <c r="C129" s="227">
        <v>851744437</v>
      </c>
      <c r="D129" s="303">
        <f t="shared" si="1"/>
        <v>536842805.82</v>
      </c>
    </row>
    <row r="130" spans="1:4" ht="16.5">
      <c r="A130" s="228" t="s">
        <v>141</v>
      </c>
      <c r="B130" s="241">
        <v>314901631.18</v>
      </c>
      <c r="C130" s="241">
        <v>2851744437</v>
      </c>
      <c r="D130" s="303">
        <f t="shared" si="1"/>
        <v>2536842805.82</v>
      </c>
    </row>
    <row r="131" spans="1:4" ht="16.5">
      <c r="A131" s="226" t="s">
        <v>142</v>
      </c>
      <c r="B131" s="241">
        <v>39989325114.02125</v>
      </c>
      <c r="C131" s="241">
        <v>44329666320.07</v>
      </c>
      <c r="D131" s="303">
        <f t="shared" si="1"/>
        <v>4340341206.048752</v>
      </c>
    </row>
    <row r="132" spans="1:4" ht="12.75">
      <c r="A132" s="226" t="s">
        <v>9</v>
      </c>
      <c r="B132" s="227"/>
      <c r="C132" s="227"/>
      <c r="D132" s="303">
        <f t="shared" si="1"/>
        <v>0</v>
      </c>
    </row>
    <row r="133" spans="1:4" ht="12.75">
      <c r="A133" s="230" t="s">
        <v>143</v>
      </c>
      <c r="B133" s="227">
        <v>2800000000</v>
      </c>
      <c r="C133" s="227">
        <v>2800000000</v>
      </c>
      <c r="D133" s="303">
        <f t="shared" si="1"/>
        <v>0</v>
      </c>
    </row>
    <row r="134" spans="1:4" ht="12.75">
      <c r="A134" s="230" t="s">
        <v>144</v>
      </c>
      <c r="B134" s="227"/>
      <c r="C134" s="227"/>
      <c r="D134" s="303">
        <f t="shared" si="1"/>
        <v>0</v>
      </c>
    </row>
    <row r="135" spans="1:4" ht="12.75">
      <c r="A135" s="230" t="s">
        <v>145</v>
      </c>
      <c r="B135" s="227">
        <v>-58310</v>
      </c>
      <c r="C135" s="227"/>
      <c r="D135" s="303">
        <f t="shared" si="1"/>
        <v>58310</v>
      </c>
    </row>
    <row r="136" spans="1:4" ht="12.75">
      <c r="A136" s="228" t="s">
        <v>146</v>
      </c>
      <c r="B136" s="236">
        <v>2799941690</v>
      </c>
      <c r="C136" s="236">
        <v>2800000000</v>
      </c>
      <c r="D136" s="303">
        <f t="shared" si="1"/>
        <v>58310</v>
      </c>
    </row>
    <row r="137" spans="1:4" ht="12.75">
      <c r="A137" s="228" t="s">
        <v>147</v>
      </c>
      <c r="B137" s="236">
        <v>15249479906.74875</v>
      </c>
      <c r="C137" s="236">
        <v>15892329778.259998</v>
      </c>
      <c r="D137" s="303">
        <f t="shared" si="1"/>
        <v>642849871.5112476</v>
      </c>
    </row>
    <row r="138" spans="1:4" ht="12.75">
      <c r="A138" s="230" t="s">
        <v>148</v>
      </c>
      <c r="B138" s="227">
        <v>5352792433.21</v>
      </c>
      <c r="C138" s="227">
        <v>5352792433.21</v>
      </c>
      <c r="D138" s="303">
        <f t="shared" si="1"/>
        <v>0</v>
      </c>
    </row>
    <row r="139" spans="1:4" ht="12.75">
      <c r="A139" s="230" t="s">
        <v>149</v>
      </c>
      <c r="B139" s="227"/>
      <c r="C139" s="227"/>
      <c r="D139" s="303">
        <f t="shared" si="1"/>
        <v>0</v>
      </c>
    </row>
    <row r="140" spans="1:4" ht="12.75">
      <c r="A140" s="230" t="s">
        <v>150</v>
      </c>
      <c r="B140" s="227">
        <v>-3401128900.38</v>
      </c>
      <c r="C140" s="227">
        <v>-2866545521.88</v>
      </c>
      <c r="D140" s="303">
        <f aca="true" t="shared" si="2" ref="D140:D148">+C140-B140</f>
        <v>534583378.5</v>
      </c>
    </row>
    <row r="141" spans="1:4" ht="12.75">
      <c r="A141" s="230" t="s">
        <v>151</v>
      </c>
      <c r="B141" s="227">
        <v>5000000000</v>
      </c>
      <c r="C141" s="227">
        <v>5000000000</v>
      </c>
      <c r="D141" s="303">
        <f t="shared" si="2"/>
        <v>0</v>
      </c>
    </row>
    <row r="142" spans="1:4" ht="12.75">
      <c r="A142" s="228" t="s">
        <v>488</v>
      </c>
      <c r="B142" s="236">
        <v>8297816373.918751</v>
      </c>
      <c r="C142" s="236">
        <v>8406082866.929999</v>
      </c>
      <c r="D142" s="303">
        <f t="shared" si="2"/>
        <v>108266493.01124859</v>
      </c>
    </row>
    <row r="143" spans="1:4" ht="12.75">
      <c r="A143" s="230" t="s">
        <v>489</v>
      </c>
      <c r="B143" s="227">
        <v>2059224327.0787508</v>
      </c>
      <c r="C143" s="227">
        <v>1005778461.3699995</v>
      </c>
      <c r="D143" s="303">
        <f t="shared" si="2"/>
        <v>-1053445865.7087513</v>
      </c>
    </row>
    <row r="144" spans="1:6" ht="12.75">
      <c r="A144" s="230" t="s">
        <v>490</v>
      </c>
      <c r="B144" s="227">
        <v>6238592046.84</v>
      </c>
      <c r="C144" s="227">
        <v>7400304405.559999</v>
      </c>
      <c r="D144" s="303">
        <f t="shared" si="2"/>
        <v>1161712358.7199993</v>
      </c>
      <c r="E144" s="305">
        <f>+D144-C144</f>
        <v>-6238592046.84</v>
      </c>
      <c r="F144" s="305"/>
    </row>
    <row r="145" spans="1:6" ht="12.75">
      <c r="A145" s="239" t="s">
        <v>152</v>
      </c>
      <c r="B145" s="227"/>
      <c r="C145" s="227"/>
      <c r="D145" s="303">
        <f t="shared" si="2"/>
        <v>0</v>
      </c>
      <c r="F145" s="305"/>
    </row>
    <row r="146" spans="1:6" ht="12.75">
      <c r="A146" s="239" t="s">
        <v>153</v>
      </c>
      <c r="B146" s="227"/>
      <c r="C146" s="227"/>
      <c r="D146" s="303">
        <f t="shared" si="2"/>
        <v>0</v>
      </c>
      <c r="F146" s="305"/>
    </row>
    <row r="147" spans="1:6" s="222" customFormat="1" ht="12.75">
      <c r="A147" s="228" t="s">
        <v>154</v>
      </c>
      <c r="B147" s="236">
        <v>18049421596.74875</v>
      </c>
      <c r="C147" s="236">
        <v>18692329778.26</v>
      </c>
      <c r="D147" s="303">
        <f t="shared" si="2"/>
        <v>642908181.5112495</v>
      </c>
      <c r="E147" s="304"/>
      <c r="F147" s="308"/>
    </row>
    <row r="148" spans="1:6" s="224" customFormat="1" ht="23.25" customHeight="1">
      <c r="A148" s="243" t="s">
        <v>155</v>
      </c>
      <c r="B148" s="244">
        <v>58038746710.77</v>
      </c>
      <c r="C148" s="244">
        <v>63021996098.33</v>
      </c>
      <c r="D148" s="303">
        <f t="shared" si="2"/>
        <v>4983249387.560005</v>
      </c>
      <c r="E148" s="309"/>
      <c r="F148" s="310"/>
    </row>
    <row r="149" spans="1:6" ht="24" customHeight="1">
      <c r="A149" s="195" t="s">
        <v>3</v>
      </c>
      <c r="B149" s="219">
        <f>B98-B148</f>
        <v>0</v>
      </c>
      <c r="C149" s="219">
        <f>C98-C148</f>
        <v>0</v>
      </c>
      <c r="F149" s="305"/>
    </row>
    <row r="150" spans="1:3" ht="12.75">
      <c r="A150" s="195" t="s">
        <v>323</v>
      </c>
      <c r="C150" s="197" t="s">
        <v>510</v>
      </c>
    </row>
    <row r="152" spans="1:3" ht="12.75">
      <c r="A152" s="195" t="s">
        <v>27</v>
      </c>
      <c r="C152" s="197" t="s">
        <v>527</v>
      </c>
    </row>
    <row r="154" spans="2:3" ht="12.75">
      <c r="B154" s="220"/>
      <c r="C154" s="220"/>
    </row>
    <row r="155" spans="2:3" ht="12.75">
      <c r="B155" s="219"/>
      <c r="C155" s="219"/>
    </row>
  </sheetData>
  <sheetProtection/>
  <mergeCells count="4">
    <mergeCell ref="A7:A8"/>
    <mergeCell ref="B1:C1"/>
    <mergeCell ref="B2:C2"/>
    <mergeCell ref="A4:C4"/>
  </mergeCells>
  <conditionalFormatting sqref="B150:B152">
    <cfRule type="cellIs" priority="1" dxfId="0" operator="lessThan" stopIfTrue="1">
      <formula>0</formula>
    </cfRule>
  </conditionalFormatting>
  <printOptions/>
  <pageMargins left="0.62" right="0.48" top="0.79" bottom="0.7" header="0.5" footer="0.5"/>
  <pageSetup horizontalDpi="600" verticalDpi="600" orientation="portrait" paperSize="9" scale="9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K65"/>
  <sheetViews>
    <sheetView showGridLines="0" view="pageBreakPreview" zoomScaleSheetLayoutView="100" zoomScalePageLayoutView="0" workbookViewId="0" topLeftCell="A31">
      <selection activeCell="E45" sqref="E45"/>
    </sheetView>
  </sheetViews>
  <sheetFormatPr defaultColWidth="9.8515625" defaultRowHeight="14.25" customHeight="1"/>
  <cols>
    <col min="1" max="1" width="6.00390625" style="1" customWidth="1"/>
    <col min="2" max="2" width="24.28125" style="1" customWidth="1"/>
    <col min="3" max="3" width="15.57421875" style="22" customWidth="1"/>
    <col min="4" max="4" width="16.57421875" style="22" customWidth="1"/>
    <col min="5" max="5" width="15.7109375" style="22" customWidth="1"/>
    <col min="6" max="6" width="14.57421875" style="22" customWidth="1"/>
    <col min="7" max="7" width="16.8515625" style="22" customWidth="1"/>
    <col min="8" max="8" width="16.28125" style="22" customWidth="1"/>
    <col min="9" max="9" width="17.28125" style="1" customWidth="1"/>
    <col min="10" max="10" width="15.7109375" style="1" bestFit="1" customWidth="1"/>
    <col min="11" max="11" width="12.28125" style="1" bestFit="1" customWidth="1"/>
    <col min="12" max="16384" width="9.8515625" style="1" customWidth="1"/>
  </cols>
  <sheetData>
    <row r="2" spans="1:2" ht="14.25" customHeight="1">
      <c r="A2" s="1">
        <v>13</v>
      </c>
      <c r="B2" s="1" t="s">
        <v>418</v>
      </c>
    </row>
    <row r="4" spans="1:8" ht="14.25" customHeight="1">
      <c r="A4" s="55"/>
      <c r="B4" s="352" t="s">
        <v>419</v>
      </c>
      <c r="C4" s="353"/>
      <c r="D4" s="354"/>
      <c r="E4" s="364" t="s">
        <v>1</v>
      </c>
      <c r="F4" s="365"/>
      <c r="G4" s="364" t="s">
        <v>2</v>
      </c>
      <c r="H4" s="365"/>
    </row>
    <row r="5" spans="1:8" ht="14.25" customHeight="1">
      <c r="A5" s="50">
        <v>1</v>
      </c>
      <c r="B5" s="360" t="s">
        <v>420</v>
      </c>
      <c r="C5" s="361"/>
      <c r="D5" s="362"/>
      <c r="E5" s="344">
        <f>SUM(E6:F12)</f>
        <v>952700000.0000001</v>
      </c>
      <c r="F5" s="345"/>
      <c r="G5" s="344">
        <f>SUM(G6:H12)</f>
        <v>740352149</v>
      </c>
      <c r="H5" s="345"/>
    </row>
    <row r="6" spans="1:8" ht="14.25" customHeight="1">
      <c r="A6" s="50">
        <v>2</v>
      </c>
      <c r="B6" s="360" t="s">
        <v>421</v>
      </c>
      <c r="C6" s="361"/>
      <c r="D6" s="362"/>
      <c r="E6" s="344">
        <f>+СБД!B75</f>
        <v>952700000</v>
      </c>
      <c r="F6" s="345"/>
      <c r="G6" s="344">
        <f>+СБД!C75</f>
        <v>950000000</v>
      </c>
      <c r="H6" s="345"/>
    </row>
    <row r="7" spans="1:8" ht="14.25" customHeight="1">
      <c r="A7" s="50">
        <v>3</v>
      </c>
      <c r="B7" s="360" t="s">
        <v>422</v>
      </c>
      <c r="C7" s="361"/>
      <c r="D7" s="362"/>
      <c r="E7" s="344">
        <f>+СБД!B76</f>
        <v>0</v>
      </c>
      <c r="F7" s="345"/>
      <c r="G7" s="344">
        <f>+СБД!C76</f>
        <v>0</v>
      </c>
      <c r="H7" s="345"/>
    </row>
    <row r="8" spans="1:8" ht="14.25" customHeight="1">
      <c r="A8" s="50">
        <v>4</v>
      </c>
      <c r="B8" s="360" t="s">
        <v>423</v>
      </c>
      <c r="C8" s="361"/>
      <c r="D8" s="362"/>
      <c r="E8" s="344"/>
      <c r="F8" s="345"/>
      <c r="G8" s="344"/>
      <c r="H8" s="345"/>
    </row>
    <row r="9" spans="1:8" ht="14.25" customHeight="1">
      <c r="A9" s="50">
        <v>5</v>
      </c>
      <c r="B9" s="360" t="s">
        <v>424</v>
      </c>
      <c r="C9" s="361"/>
      <c r="D9" s="362"/>
      <c r="E9" s="344">
        <f>+СБД!B78</f>
        <v>0</v>
      </c>
      <c r="F9" s="345"/>
      <c r="G9" s="344">
        <f>+СБД!C78</f>
        <v>0</v>
      </c>
      <c r="H9" s="345"/>
    </row>
    <row r="10" spans="1:8" ht="14.25" customHeight="1">
      <c r="A10" s="50">
        <v>6</v>
      </c>
      <c r="B10" s="360" t="s">
        <v>425</v>
      </c>
      <c r="C10" s="361"/>
      <c r="D10" s="362"/>
      <c r="E10" s="344">
        <f>+СБД!B79</f>
        <v>0</v>
      </c>
      <c r="F10" s="345"/>
      <c r="G10" s="344">
        <f>+СБД!C79</f>
        <v>0</v>
      </c>
      <c r="H10" s="345"/>
    </row>
    <row r="11" spans="1:8" ht="14.25" customHeight="1">
      <c r="A11" s="50">
        <v>7</v>
      </c>
      <c r="B11" s="360" t="s">
        <v>426</v>
      </c>
      <c r="C11" s="361"/>
      <c r="D11" s="362"/>
      <c r="E11" s="344">
        <f>+СБД!B80</f>
        <v>317295782.36</v>
      </c>
      <c r="F11" s="345"/>
      <c r="G11" s="344">
        <f>+СБД!C80</f>
        <v>107647931.36</v>
      </c>
      <c r="H11" s="345"/>
    </row>
    <row r="12" spans="1:8" ht="26.25" customHeight="1">
      <c r="A12" s="50">
        <v>8</v>
      </c>
      <c r="B12" s="372" t="s">
        <v>427</v>
      </c>
      <c r="C12" s="373"/>
      <c r="D12" s="374"/>
      <c r="E12" s="344">
        <f>+СБД!B81</f>
        <v>-317295782.36</v>
      </c>
      <c r="F12" s="345"/>
      <c r="G12" s="344">
        <f>+СБД!C81</f>
        <v>-317295782.36</v>
      </c>
      <c r="H12" s="345"/>
    </row>
    <row r="14" spans="1:2" ht="14.25" customHeight="1">
      <c r="A14" s="1">
        <v>14</v>
      </c>
      <c r="B14" s="1" t="s">
        <v>428</v>
      </c>
    </row>
    <row r="16" spans="1:8" ht="27.75" customHeight="1">
      <c r="A16" s="55"/>
      <c r="B16" s="352" t="s">
        <v>363</v>
      </c>
      <c r="C16" s="353"/>
      <c r="D16" s="354"/>
      <c r="E16" s="58" t="s">
        <v>429</v>
      </c>
      <c r="F16" s="58" t="s">
        <v>430</v>
      </c>
      <c r="G16" s="58" t="s">
        <v>431</v>
      </c>
      <c r="H16" s="66" t="s">
        <v>432</v>
      </c>
    </row>
    <row r="17" spans="1:8" ht="14.25" customHeight="1">
      <c r="A17" s="50">
        <v>1</v>
      </c>
      <c r="B17" s="360"/>
      <c r="C17" s="361"/>
      <c r="D17" s="362"/>
      <c r="E17" s="58"/>
      <c r="F17" s="58"/>
      <c r="G17" s="58"/>
      <c r="H17" s="58"/>
    </row>
    <row r="18" spans="1:8" ht="14.25" customHeight="1">
      <c r="A18" s="50">
        <v>2</v>
      </c>
      <c r="B18" s="360"/>
      <c r="C18" s="361"/>
      <c r="D18" s="362"/>
      <c r="E18" s="58"/>
      <c r="F18" s="58"/>
      <c r="G18" s="58"/>
      <c r="H18" s="58"/>
    </row>
    <row r="20" spans="1:2" ht="14.25" customHeight="1">
      <c r="A20" s="1">
        <v>15</v>
      </c>
      <c r="B20" s="1" t="s">
        <v>433</v>
      </c>
    </row>
    <row r="22" spans="1:8" s="71" customFormat="1" ht="42" customHeight="1">
      <c r="A22" s="67"/>
      <c r="B22" s="68" t="s">
        <v>363</v>
      </c>
      <c r="C22" s="69" t="s">
        <v>537</v>
      </c>
      <c r="D22" s="69" t="s">
        <v>434</v>
      </c>
      <c r="E22" s="70" t="s">
        <v>435</v>
      </c>
      <c r="F22" s="69" t="s">
        <v>436</v>
      </c>
      <c r="G22" s="70" t="s">
        <v>437</v>
      </c>
      <c r="H22" s="70" t="s">
        <v>438</v>
      </c>
    </row>
    <row r="23" spans="1:10" s="159" customFormat="1" ht="14.25" customHeight="1">
      <c r="A23" s="157">
        <v>1</v>
      </c>
      <c r="B23" s="158" t="s">
        <v>1</v>
      </c>
      <c r="C23" s="152">
        <v>749889674.63</v>
      </c>
      <c r="D23" s="73">
        <v>322000000</v>
      </c>
      <c r="E23" s="152">
        <v>34619298</v>
      </c>
      <c r="F23" s="152">
        <v>60247659</v>
      </c>
      <c r="G23" s="152">
        <v>203794963</v>
      </c>
      <c r="H23" s="152">
        <f>SUM(C23:G23)</f>
        <v>1370551594.63</v>
      </c>
      <c r="I23" s="213">
        <f>+СБД!B87+СБД!B89+СБД!B91</f>
        <v>1431130804.93</v>
      </c>
      <c r="J23" s="213">
        <f>+H23-I23</f>
        <v>-60579210.29999995</v>
      </c>
    </row>
    <row r="24" spans="1:8" s="8" customFormat="1" ht="14.25" customHeight="1">
      <c r="A24" s="59">
        <v>2</v>
      </c>
      <c r="B24" s="72" t="s">
        <v>439</v>
      </c>
      <c r="C24" s="74">
        <f>+C25+C26</f>
        <v>2413450.3</v>
      </c>
      <c r="D24" s="74">
        <f>+D25+D26</f>
        <v>0</v>
      </c>
      <c r="E24" s="153">
        <f>+E25+E26</f>
        <v>37415760</v>
      </c>
      <c r="F24" s="153">
        <f>+F25+F26</f>
        <v>20750000</v>
      </c>
      <c r="G24" s="153">
        <f>+G25+G26</f>
        <v>0</v>
      </c>
      <c r="H24" s="75">
        <f>SUM(C24:G24)</f>
        <v>60579210.3</v>
      </c>
    </row>
    <row r="25" spans="1:8" ht="14.25" customHeight="1">
      <c r="A25" s="50">
        <v>3</v>
      </c>
      <c r="B25" s="76" t="s">
        <v>440</v>
      </c>
      <c r="C25" s="77">
        <v>2413450.3</v>
      </c>
      <c r="D25" s="77"/>
      <c r="E25" s="151">
        <v>37415760</v>
      </c>
      <c r="F25" s="151">
        <v>20750000</v>
      </c>
      <c r="G25" s="151"/>
      <c r="H25" s="58">
        <f>SUM(C25:G25)</f>
        <v>60579210.3</v>
      </c>
    </row>
    <row r="26" spans="1:8" ht="14.25" customHeight="1">
      <c r="A26" s="50">
        <v>4</v>
      </c>
      <c r="B26" s="76" t="s">
        <v>441</v>
      </c>
      <c r="C26" s="77"/>
      <c r="D26" s="77"/>
      <c r="E26" s="151"/>
      <c r="F26" s="151"/>
      <c r="G26" s="151"/>
      <c r="H26" s="58">
        <f aca="true" t="shared" si="0" ref="H26:H32">SUM(E26:G26)</f>
        <v>0</v>
      </c>
    </row>
    <row r="27" spans="1:8" s="8" customFormat="1" ht="14.25" customHeight="1">
      <c r="A27" s="59">
        <v>5</v>
      </c>
      <c r="B27" s="72" t="s">
        <v>442</v>
      </c>
      <c r="C27" s="73"/>
      <c r="D27" s="73"/>
      <c r="E27" s="153"/>
      <c r="F27" s="153"/>
      <c r="G27" s="153"/>
      <c r="H27" s="75">
        <f>SUM(E27:G27)</f>
        <v>0</v>
      </c>
    </row>
    <row r="28" spans="1:8" ht="14.25" customHeight="1">
      <c r="A28" s="50">
        <v>6</v>
      </c>
      <c r="B28" s="76" t="s">
        <v>443</v>
      </c>
      <c r="C28" s="77"/>
      <c r="D28" s="77"/>
      <c r="E28" s="151"/>
      <c r="F28" s="151"/>
      <c r="G28" s="151"/>
      <c r="H28" s="58">
        <f>SUM(E28:G28)</f>
        <v>0</v>
      </c>
    </row>
    <row r="29" spans="1:8" ht="14.25" customHeight="1">
      <c r="A29" s="50">
        <v>7</v>
      </c>
      <c r="B29" s="76" t="s">
        <v>444</v>
      </c>
      <c r="C29" s="77"/>
      <c r="D29" s="77"/>
      <c r="E29" s="151"/>
      <c r="F29" s="151"/>
      <c r="G29" s="151"/>
      <c r="H29" s="58">
        <f t="shared" si="0"/>
        <v>0</v>
      </c>
    </row>
    <row r="30" spans="1:8" ht="14.25" customHeight="1">
      <c r="A30" s="50">
        <v>8</v>
      </c>
      <c r="B30" s="76" t="s">
        <v>445</v>
      </c>
      <c r="C30" s="77"/>
      <c r="D30" s="77"/>
      <c r="E30" s="151"/>
      <c r="F30" s="151"/>
      <c r="G30" s="151"/>
      <c r="H30" s="58">
        <f t="shared" si="0"/>
        <v>0</v>
      </c>
    </row>
    <row r="31" spans="1:10" s="8" customFormat="1" ht="14.25" customHeight="1">
      <c r="A31" s="59">
        <v>9</v>
      </c>
      <c r="B31" s="72" t="s">
        <v>2</v>
      </c>
      <c r="C31" s="74">
        <f>+C23+C24-C27</f>
        <v>752303124.93</v>
      </c>
      <c r="D31" s="74">
        <f>+D23+D24-D27</f>
        <v>322000000</v>
      </c>
      <c r="E31" s="153">
        <f>+E23+E24-E27</f>
        <v>72035058</v>
      </c>
      <c r="F31" s="153">
        <f>+F23+F24-F27</f>
        <v>80997659</v>
      </c>
      <c r="G31" s="153">
        <f>+G23+G24-G27</f>
        <v>203794963</v>
      </c>
      <c r="H31" s="75">
        <f>SUM(C31:G31)</f>
        <v>1431130804.9299998</v>
      </c>
      <c r="I31" s="169">
        <f>+СБД!C87+СБД!C89+СБД!C91</f>
        <v>1658983087.83</v>
      </c>
      <c r="J31" s="169">
        <f>+H31-I31</f>
        <v>-227852282.9000001</v>
      </c>
    </row>
    <row r="32" spans="1:8" s="161" customFormat="1" ht="14.25" customHeight="1">
      <c r="A32" s="157">
        <v>10</v>
      </c>
      <c r="B32" s="160" t="s">
        <v>446</v>
      </c>
      <c r="C32" s="149"/>
      <c r="D32" s="149"/>
      <c r="E32" s="153"/>
      <c r="F32" s="153"/>
      <c r="G32" s="153"/>
      <c r="H32" s="152">
        <f t="shared" si="0"/>
        <v>0</v>
      </c>
    </row>
    <row r="33" spans="1:10" ht="14.25" customHeight="1">
      <c r="A33" s="50">
        <v>11</v>
      </c>
      <c r="B33" s="76" t="s">
        <v>1</v>
      </c>
      <c r="C33" s="77">
        <v>104010005.38</v>
      </c>
      <c r="D33" s="77">
        <v>10733333.32</v>
      </c>
      <c r="E33" s="151">
        <v>13792841.97</v>
      </c>
      <c r="F33" s="151">
        <v>28257902.89</v>
      </c>
      <c r="G33" s="151">
        <v>26366829.96</v>
      </c>
      <c r="H33" s="58">
        <f>SUM(C33:G33)</f>
        <v>183160913.52</v>
      </c>
      <c r="I33" s="170">
        <f>+СБД!B88+СБД!B90+СБД!B92</f>
        <v>-492238858.39</v>
      </c>
      <c r="J33" s="170">
        <f>+H33+I33</f>
        <v>-309077944.87</v>
      </c>
    </row>
    <row r="34" spans="1:9" ht="14.25" customHeight="1">
      <c r="A34" s="50">
        <v>12</v>
      </c>
      <c r="B34" s="76" t="s">
        <v>447</v>
      </c>
      <c r="C34" s="77">
        <f>-+('[4]Sheet0'!$E$238+'[4]Sheet0'!$D$238)</f>
        <v>232589395.07</v>
      </c>
      <c r="D34" s="77">
        <v>12880000</v>
      </c>
      <c r="E34" s="151">
        <v>10036589.83</v>
      </c>
      <c r="F34" s="151">
        <v>39179797.31</v>
      </c>
      <c r="G34" s="151">
        <v>14392162.65</v>
      </c>
      <c r="H34" s="58">
        <f>SUM(C34:G34)</f>
        <v>309077944.86</v>
      </c>
      <c r="I34" s="170"/>
    </row>
    <row r="35" spans="1:8" ht="14.25" customHeight="1">
      <c r="A35" s="50">
        <v>13</v>
      </c>
      <c r="B35" s="76" t="s">
        <v>442</v>
      </c>
      <c r="C35" s="77"/>
      <c r="D35" s="77"/>
      <c r="E35" s="151"/>
      <c r="F35" s="151"/>
      <c r="G35" s="151"/>
      <c r="H35" s="58">
        <f>SUM(C35:G35)</f>
        <v>0</v>
      </c>
    </row>
    <row r="36" spans="1:10" s="8" customFormat="1" ht="14.25" customHeight="1">
      <c r="A36" s="59">
        <v>14</v>
      </c>
      <c r="B36" s="72" t="s">
        <v>2</v>
      </c>
      <c r="C36" s="74">
        <f aca="true" t="shared" si="1" ref="C36:H36">+C33+C34-C35</f>
        <v>336599400.45</v>
      </c>
      <c r="D36" s="74">
        <f t="shared" si="1"/>
        <v>23613333.32</v>
      </c>
      <c r="E36" s="153">
        <f t="shared" si="1"/>
        <v>23829431.8</v>
      </c>
      <c r="F36" s="153">
        <f t="shared" si="1"/>
        <v>67437700.2</v>
      </c>
      <c r="G36" s="153">
        <f t="shared" si="1"/>
        <v>40758992.61</v>
      </c>
      <c r="H36" s="74">
        <f t="shared" si="1"/>
        <v>492238858.38</v>
      </c>
      <c r="I36" s="169">
        <f>+СБД!C88+СБД!C90+СБД!C92</f>
        <v>-647589445.15</v>
      </c>
      <c r="J36" s="169">
        <f>+I36+H36</f>
        <v>-155350586.76999998</v>
      </c>
    </row>
    <row r="37" spans="3:7" ht="14.25" customHeight="1">
      <c r="C37" s="22">
        <f>+'[4]Sheet0'!$G$238</f>
        <v>-336599400.45</v>
      </c>
      <c r="D37" s="22">
        <f>+'[4]Sheet0'!$G$237</f>
        <v>-23613333.33</v>
      </c>
      <c r="E37" s="22">
        <f>+'[4]Sheet0'!$G$241</f>
        <v>-23829431.8</v>
      </c>
      <c r="F37" s="22">
        <f>+'[4]Sheet0'!$G$239</f>
        <v>-67437700.2</v>
      </c>
      <c r="G37" s="22">
        <f>+'[4]Sheet0'!$G$240</f>
        <v>-40758992.61</v>
      </c>
    </row>
    <row r="38" spans="1:9" ht="14.25" customHeight="1">
      <c r="A38" s="1">
        <v>16</v>
      </c>
      <c r="B38" s="1" t="s">
        <v>448</v>
      </c>
      <c r="C38" s="22">
        <f>+C36+C37</f>
        <v>0</v>
      </c>
      <c r="I38" s="170"/>
    </row>
    <row r="40" spans="1:8" s="80" customFormat="1" ht="24" customHeight="1">
      <c r="A40" s="78"/>
      <c r="B40" s="369" t="s">
        <v>449</v>
      </c>
      <c r="C40" s="371"/>
      <c r="D40" s="69" t="s">
        <v>360</v>
      </c>
      <c r="E40" s="79" t="s">
        <v>450</v>
      </c>
      <c r="F40" s="79" t="s">
        <v>451</v>
      </c>
      <c r="G40" s="79" t="s">
        <v>452</v>
      </c>
      <c r="H40" s="79" t="s">
        <v>438</v>
      </c>
    </row>
    <row r="41" spans="1:8" ht="14.25" customHeight="1">
      <c r="A41" s="50">
        <v>1</v>
      </c>
      <c r="B41" s="360" t="s">
        <v>1</v>
      </c>
      <c r="C41" s="362"/>
      <c r="D41" s="148">
        <f>834325000-12000000-100000000</f>
        <v>722325000</v>
      </c>
      <c r="E41" s="148"/>
      <c r="F41" s="148"/>
      <c r="G41" s="148">
        <v>112000000</v>
      </c>
      <c r="H41" s="148">
        <f>SUM(D41:G41)</f>
        <v>834325000</v>
      </c>
    </row>
    <row r="42" spans="1:8" s="8" customFormat="1" ht="14.25" customHeight="1">
      <c r="A42" s="59">
        <v>2</v>
      </c>
      <c r="B42" s="357" t="s">
        <v>439</v>
      </c>
      <c r="C42" s="359"/>
      <c r="D42" s="149">
        <f>SUM(D43:D44)</f>
        <v>116105000</v>
      </c>
      <c r="E42" s="149">
        <f>SUM(E43:E44)</f>
        <v>0</v>
      </c>
      <c r="F42" s="149">
        <f>SUM(F43:F44)</f>
        <v>0</v>
      </c>
      <c r="G42" s="149">
        <f>SUM(G43:G44)</f>
        <v>0</v>
      </c>
      <c r="H42" s="149">
        <f>SUM(D42:G42)</f>
        <v>116105000</v>
      </c>
    </row>
    <row r="43" spans="1:9" ht="14.25" customHeight="1">
      <c r="A43" s="50">
        <v>3</v>
      </c>
      <c r="B43" s="360" t="s">
        <v>440</v>
      </c>
      <c r="C43" s="362"/>
      <c r="D43" s="150">
        <v>116105000</v>
      </c>
      <c r="E43" s="151"/>
      <c r="F43" s="151"/>
      <c r="G43" s="151"/>
      <c r="H43" s="148">
        <f aca="true" t="shared" si="2" ref="H43:H53">SUM(D43:G43)</f>
        <v>116105000</v>
      </c>
      <c r="I43" s="170">
        <f>+E41+G43</f>
        <v>0</v>
      </c>
    </row>
    <row r="44" spans="1:8" ht="14.25" customHeight="1">
      <c r="A44" s="50">
        <v>4</v>
      </c>
      <c r="B44" s="62" t="s">
        <v>441</v>
      </c>
      <c r="C44" s="81"/>
      <c r="D44" s="150"/>
      <c r="E44" s="151"/>
      <c r="F44" s="151"/>
      <c r="G44" s="151"/>
      <c r="H44" s="148">
        <f t="shared" si="2"/>
        <v>0</v>
      </c>
    </row>
    <row r="45" spans="1:8" s="8" customFormat="1" ht="14.25" customHeight="1">
      <c r="A45" s="59">
        <v>5</v>
      </c>
      <c r="B45" s="60" t="s">
        <v>442</v>
      </c>
      <c r="C45" s="65"/>
      <c r="D45" s="149">
        <f>+D46+D47</f>
        <v>0</v>
      </c>
      <c r="E45" s="149"/>
      <c r="F45" s="149">
        <f>+F46+F47</f>
        <v>0</v>
      </c>
      <c r="G45" s="149">
        <f>+G46+G47</f>
        <v>0</v>
      </c>
      <c r="H45" s="149">
        <f>SUM(D45:G45)</f>
        <v>0</v>
      </c>
    </row>
    <row r="46" spans="1:8" ht="14.25" customHeight="1">
      <c r="A46" s="50">
        <v>6</v>
      </c>
      <c r="B46" s="62" t="s">
        <v>443</v>
      </c>
      <c r="C46" s="81"/>
      <c r="D46" s="150"/>
      <c r="E46" s="151"/>
      <c r="F46" s="151"/>
      <c r="G46" s="151"/>
      <c r="H46" s="148">
        <f t="shared" si="2"/>
        <v>0</v>
      </c>
    </row>
    <row r="47" spans="1:8" ht="14.25" customHeight="1">
      <c r="A47" s="50">
        <v>7</v>
      </c>
      <c r="B47" s="62" t="s">
        <v>453</v>
      </c>
      <c r="C47" s="81"/>
      <c r="D47" s="150"/>
      <c r="E47" s="151"/>
      <c r="F47" s="151"/>
      <c r="G47" s="151"/>
      <c r="H47" s="148">
        <f t="shared" si="2"/>
        <v>0</v>
      </c>
    </row>
    <row r="48" spans="1:8" ht="14.25" customHeight="1">
      <c r="A48" s="50">
        <v>8</v>
      </c>
      <c r="B48" s="62" t="s">
        <v>454</v>
      </c>
      <c r="C48" s="81"/>
      <c r="D48" s="150"/>
      <c r="E48" s="151"/>
      <c r="F48" s="151"/>
      <c r="G48" s="151"/>
      <c r="H48" s="148">
        <f t="shared" si="2"/>
        <v>0</v>
      </c>
    </row>
    <row r="49" spans="1:10" s="8" customFormat="1" ht="14.25" customHeight="1">
      <c r="A49" s="59">
        <v>9</v>
      </c>
      <c r="B49" s="60" t="s">
        <v>2</v>
      </c>
      <c r="C49" s="65"/>
      <c r="D49" s="149">
        <f>+D41+D42-D45</f>
        <v>838430000</v>
      </c>
      <c r="E49" s="149">
        <f>+E41+E42-E45</f>
        <v>0</v>
      </c>
      <c r="F49" s="149">
        <f>+F41+F42-F45</f>
        <v>0</v>
      </c>
      <c r="G49" s="149">
        <f>+G41+G42-G45</f>
        <v>112000000</v>
      </c>
      <c r="H49" s="152">
        <f>SUM(D49:G49)</f>
        <v>950430000</v>
      </c>
      <c r="I49" s="169"/>
      <c r="J49" s="169"/>
    </row>
    <row r="50" spans="1:8" ht="14.25" customHeight="1">
      <c r="A50" s="50">
        <v>10</v>
      </c>
      <c r="B50" s="62" t="s">
        <v>446</v>
      </c>
      <c r="C50" s="81"/>
      <c r="D50" s="150"/>
      <c r="E50" s="151"/>
      <c r="F50" s="151"/>
      <c r="G50" s="151"/>
      <c r="H50" s="148">
        <f t="shared" si="2"/>
        <v>0</v>
      </c>
    </row>
    <row r="51" spans="1:11" ht="14.25" customHeight="1">
      <c r="A51" s="50">
        <v>11</v>
      </c>
      <c r="B51" s="62" t="s">
        <v>1</v>
      </c>
      <c r="C51" s="81"/>
      <c r="D51" s="170">
        <v>169003750.01999998</v>
      </c>
      <c r="E51" s="151"/>
      <c r="F51" s="151"/>
      <c r="G51" s="214">
        <v>39583333.33</v>
      </c>
      <c r="H51" s="148">
        <f>SUM(D51:G51)</f>
        <v>208587083.34999996</v>
      </c>
      <c r="I51" s="214">
        <v>39583.3</v>
      </c>
      <c r="J51" s="170">
        <v>169003750.01999998</v>
      </c>
      <c r="K51" s="214">
        <v>39583333.33</v>
      </c>
    </row>
    <row r="52" spans="1:11" ht="14.25" customHeight="1">
      <c r="A52" s="50">
        <v>12</v>
      </c>
      <c r="B52" s="62" t="s">
        <v>455</v>
      </c>
      <c r="C52" s="81"/>
      <c r="D52" s="150">
        <v>78825624.98</v>
      </c>
      <c r="E52" s="151"/>
      <c r="F52" s="151"/>
      <c r="G52" s="151">
        <v>25000000</v>
      </c>
      <c r="H52" s="148">
        <f>SUM(D52:G52)</f>
        <v>103825624.98</v>
      </c>
      <c r="J52" s="215">
        <v>103825624.98</v>
      </c>
      <c r="K52" s="1">
        <f>J52-25000000</f>
        <v>78825624.98</v>
      </c>
    </row>
    <row r="53" spans="1:8" ht="14.25" customHeight="1">
      <c r="A53" s="50">
        <v>13</v>
      </c>
      <c r="B53" s="62" t="s">
        <v>442</v>
      </c>
      <c r="C53" s="81"/>
      <c r="D53" s="77"/>
      <c r="E53" s="52"/>
      <c r="F53" s="52"/>
      <c r="G53" s="52"/>
      <c r="H53" s="58">
        <f t="shared" si="2"/>
        <v>0</v>
      </c>
    </row>
    <row r="54" spans="1:10" s="8" customFormat="1" ht="14.25" customHeight="1">
      <c r="A54" s="59">
        <v>14</v>
      </c>
      <c r="B54" s="357" t="s">
        <v>2</v>
      </c>
      <c r="C54" s="359"/>
      <c r="D54" s="75">
        <f>+D51+D52-D53</f>
        <v>247829375</v>
      </c>
      <c r="E54" s="75">
        <f>+E51+E52</f>
        <v>0</v>
      </c>
      <c r="F54" s="75">
        <f>+F51+F52</f>
        <v>0</v>
      </c>
      <c r="G54" s="75">
        <f>+G51+G52</f>
        <v>64583333.33</v>
      </c>
      <c r="H54" s="75">
        <f>+H51+H52-H53</f>
        <v>312412708.33</v>
      </c>
      <c r="I54" s="169">
        <f>+СБД!C96</f>
        <v>-369976094.79</v>
      </c>
      <c r="J54" s="169"/>
    </row>
    <row r="58" spans="1:8" ht="26.25" customHeight="1">
      <c r="A58" s="82"/>
      <c r="B58" s="375"/>
      <c r="C58" s="375"/>
      <c r="D58" s="375"/>
      <c r="E58" s="376"/>
      <c r="F58" s="376"/>
      <c r="G58" s="376"/>
      <c r="H58" s="376"/>
    </row>
    <row r="59" spans="1:8" ht="14.25" customHeight="1">
      <c r="A59" s="31"/>
      <c r="B59" s="377"/>
      <c r="C59" s="377"/>
      <c r="D59" s="377"/>
      <c r="E59" s="376"/>
      <c r="F59" s="376"/>
      <c r="G59" s="376"/>
      <c r="H59" s="376"/>
    </row>
    <row r="60" spans="1:8" ht="14.25" customHeight="1">
      <c r="A60" s="31"/>
      <c r="B60" s="84"/>
      <c r="C60" s="85"/>
      <c r="D60" s="85"/>
      <c r="E60" s="83"/>
      <c r="F60" s="83"/>
      <c r="G60" s="83"/>
      <c r="H60" s="83"/>
    </row>
    <row r="61" spans="1:8" ht="14.25" customHeight="1">
      <c r="A61" s="31"/>
      <c r="B61" s="84"/>
      <c r="C61" s="85"/>
      <c r="D61" s="85"/>
      <c r="E61" s="83"/>
      <c r="F61" s="83"/>
      <c r="G61" s="83"/>
      <c r="H61" s="83"/>
    </row>
    <row r="62" spans="1:8" ht="14.25" customHeight="1">
      <c r="A62" s="31"/>
      <c r="B62" s="84"/>
      <c r="C62" s="85"/>
      <c r="D62" s="85"/>
      <c r="E62" s="83"/>
      <c r="F62" s="83"/>
      <c r="G62" s="83"/>
      <c r="H62" s="83"/>
    </row>
    <row r="63" spans="1:8" ht="14.25" customHeight="1">
      <c r="A63" s="31"/>
      <c r="B63" s="84"/>
      <c r="C63" s="85"/>
      <c r="D63" s="85"/>
      <c r="E63" s="83"/>
      <c r="F63" s="83"/>
      <c r="G63" s="83"/>
      <c r="H63" s="83"/>
    </row>
    <row r="64" spans="1:8" ht="14.25" customHeight="1">
      <c r="A64" s="31"/>
      <c r="B64" s="378"/>
      <c r="C64" s="378"/>
      <c r="D64" s="378"/>
      <c r="E64" s="376"/>
      <c r="F64" s="376"/>
      <c r="G64" s="376"/>
      <c r="H64" s="376"/>
    </row>
    <row r="65" spans="1:8" ht="14.25" customHeight="1">
      <c r="A65" s="31"/>
      <c r="B65" s="31"/>
      <c r="C65" s="86"/>
      <c r="D65" s="86"/>
      <c r="E65" s="86"/>
      <c r="F65" s="86"/>
      <c r="G65" s="86"/>
      <c r="H65" s="86"/>
    </row>
  </sheetData>
  <sheetProtection/>
  <mergeCells count="44">
    <mergeCell ref="B59:D59"/>
    <mergeCell ref="E59:F59"/>
    <mergeCell ref="G59:H59"/>
    <mergeCell ref="B64:D64"/>
    <mergeCell ref="E64:F64"/>
    <mergeCell ref="G64:H64"/>
    <mergeCell ref="B42:C42"/>
    <mergeCell ref="B43:C43"/>
    <mergeCell ref="B54:C54"/>
    <mergeCell ref="B58:D58"/>
    <mergeCell ref="E58:F58"/>
    <mergeCell ref="G58:H58"/>
    <mergeCell ref="B12:D12"/>
    <mergeCell ref="B16:D16"/>
    <mergeCell ref="B17:D17"/>
    <mergeCell ref="B18:D18"/>
    <mergeCell ref="B40:C40"/>
    <mergeCell ref="B41:C41"/>
    <mergeCell ref="G4:H4"/>
    <mergeCell ref="B5:D5"/>
    <mergeCell ref="E5:F5"/>
    <mergeCell ref="G5:H5"/>
    <mergeCell ref="B6:D6"/>
    <mergeCell ref="B7:D7"/>
    <mergeCell ref="E8:F8"/>
    <mergeCell ref="E9:F9"/>
    <mergeCell ref="E10:F10"/>
    <mergeCell ref="E11:F11"/>
    <mergeCell ref="B4:D4"/>
    <mergeCell ref="E4:F4"/>
    <mergeCell ref="B8:D8"/>
    <mergeCell ref="B9:D9"/>
    <mergeCell ref="B10:D10"/>
    <mergeCell ref="B11:D11"/>
    <mergeCell ref="E12:F12"/>
    <mergeCell ref="G6:H6"/>
    <mergeCell ref="G7:H7"/>
    <mergeCell ref="G8:H8"/>
    <mergeCell ref="G9:H9"/>
    <mergeCell ref="G10:H10"/>
    <mergeCell ref="G11:H11"/>
    <mergeCell ref="G12:H12"/>
    <mergeCell ref="E6:F6"/>
    <mergeCell ref="E7:F7"/>
  </mergeCells>
  <printOptions horizontalCentered="1" verticalCentered="1"/>
  <pageMargins left="0.5" right="0.35" top="0" bottom="0" header="0.4" footer="0.3"/>
  <pageSetup fitToHeight="1" fitToWidth="1" horizontalDpi="600" verticalDpi="600" orientation="portrait" paperSize="9" scale="76" r:id="rId1"/>
  <headerFooter alignWithMargins="0">
    <oddFooter>&amp;L10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44"/>
  <sheetViews>
    <sheetView showGridLines="0" view="pageBreakPreview" zoomScale="90" zoomScaleSheetLayoutView="90" zoomScalePageLayoutView="0" workbookViewId="0" topLeftCell="A16">
      <selection activeCell="D48" sqref="D48"/>
    </sheetView>
  </sheetViews>
  <sheetFormatPr defaultColWidth="9.140625" defaultRowHeight="14.25" customHeight="1"/>
  <cols>
    <col min="1" max="1" width="7.421875" style="1" customWidth="1"/>
    <col min="2" max="2" width="37.7109375" style="1" customWidth="1"/>
    <col min="3" max="3" width="15.7109375" style="22" customWidth="1"/>
    <col min="4" max="4" width="18.421875" style="22" customWidth="1"/>
    <col min="5" max="5" width="15.7109375" style="22" customWidth="1"/>
    <col min="6" max="6" width="17.8515625" style="22" customWidth="1"/>
    <col min="7" max="16384" width="9.140625" style="1" customWidth="1"/>
  </cols>
  <sheetData>
    <row r="1" spans="3:6" s="87" customFormat="1" ht="14.25" customHeight="1">
      <c r="C1" s="88"/>
      <c r="D1" s="88"/>
      <c r="E1" s="88"/>
      <c r="F1" s="88"/>
    </row>
    <row r="2" spans="1:2" ht="14.25" customHeight="1">
      <c r="A2" s="1">
        <v>17</v>
      </c>
      <c r="B2" s="1" t="s">
        <v>456</v>
      </c>
    </row>
    <row r="4" spans="1:6" s="8" customFormat="1" ht="14.25" customHeight="1">
      <c r="A4" s="379"/>
      <c r="B4" s="381" t="s">
        <v>0</v>
      </c>
      <c r="C4" s="344" t="s">
        <v>1</v>
      </c>
      <c r="D4" s="345"/>
      <c r="E4" s="344" t="s">
        <v>2</v>
      </c>
      <c r="F4" s="345"/>
    </row>
    <row r="5" spans="1:6" s="8" customFormat="1" ht="14.25" customHeight="1">
      <c r="A5" s="380"/>
      <c r="B5" s="382"/>
      <c r="C5" s="69" t="s">
        <v>364</v>
      </c>
      <c r="D5" s="79" t="s">
        <v>365</v>
      </c>
      <c r="E5" s="79" t="s">
        <v>364</v>
      </c>
      <c r="F5" s="79" t="s">
        <v>365</v>
      </c>
    </row>
    <row r="6" spans="1:6" s="8" customFormat="1" ht="14.25" customHeight="1">
      <c r="A6" s="50">
        <v>1</v>
      </c>
      <c r="B6" s="62" t="s">
        <v>457</v>
      </c>
      <c r="C6" s="58"/>
      <c r="D6" s="58"/>
      <c r="E6" s="79"/>
      <c r="F6" s="58"/>
    </row>
    <row r="7" spans="1:6" ht="14.25" customHeight="1">
      <c r="A7" s="50">
        <v>2</v>
      </c>
      <c r="B7" s="62" t="s">
        <v>458</v>
      </c>
      <c r="C7" s="77"/>
      <c r="D7" s="52">
        <v>4550561000</v>
      </c>
      <c r="E7" s="52"/>
      <c r="F7" s="52">
        <f>+'[3]СБД'!C101</f>
        <v>17801865131.5</v>
      </c>
    </row>
    <row r="8" spans="1:6" ht="14.25" customHeight="1">
      <c r="A8" s="50">
        <v>3</v>
      </c>
      <c r="B8" s="62" t="s">
        <v>459</v>
      </c>
      <c r="C8" s="77"/>
      <c r="D8" s="52"/>
      <c r="E8" s="52"/>
      <c r="F8" s="52"/>
    </row>
    <row r="9" spans="1:6" ht="14.25" customHeight="1">
      <c r="A9" s="50">
        <v>4</v>
      </c>
      <c r="B9" s="62" t="s">
        <v>460</v>
      </c>
      <c r="C9" s="77"/>
      <c r="D9" s="52">
        <v>6886000000</v>
      </c>
      <c r="E9" s="52"/>
      <c r="F9" s="52">
        <f>+'[3]СБД'!C103</f>
        <v>561000000</v>
      </c>
    </row>
    <row r="10" spans="1:6" s="31" customFormat="1" ht="14.25" customHeight="1">
      <c r="A10" s="50">
        <v>5</v>
      </c>
      <c r="B10" s="62" t="s">
        <v>461</v>
      </c>
      <c r="C10" s="77"/>
      <c r="D10" s="52"/>
      <c r="E10" s="52"/>
      <c r="F10" s="52"/>
    </row>
    <row r="11" spans="1:6" ht="14.25" customHeight="1">
      <c r="A11" s="50">
        <v>6</v>
      </c>
      <c r="B11" s="62" t="s">
        <v>462</v>
      </c>
      <c r="C11" s="77"/>
      <c r="D11" s="52">
        <v>6346313083.77</v>
      </c>
      <c r="E11" s="52"/>
      <c r="F11" s="52">
        <f>+'[3]СБД'!C105</f>
        <v>0</v>
      </c>
    </row>
    <row r="12" spans="1:6" s="90" customFormat="1" ht="14.25" customHeight="1">
      <c r="A12" s="59">
        <v>7</v>
      </c>
      <c r="B12" s="89" t="s">
        <v>17</v>
      </c>
      <c r="C12" s="74">
        <f>SUM(C7:C11)</f>
        <v>0</v>
      </c>
      <c r="D12" s="74">
        <f>SUM(D7:D11)</f>
        <v>17782874083.77</v>
      </c>
      <c r="E12" s="74">
        <f>SUM(E7:E11)</f>
        <v>0</v>
      </c>
      <c r="F12" s="74">
        <f>SUM(F7:F11)</f>
        <v>18362865131.5</v>
      </c>
    </row>
    <row r="14" spans="1:2" ht="14.25" customHeight="1">
      <c r="A14" s="1">
        <v>18</v>
      </c>
      <c r="B14" s="1" t="s">
        <v>463</v>
      </c>
    </row>
    <row r="16" spans="1:6" ht="14.25" customHeight="1">
      <c r="A16" s="379"/>
      <c r="B16" s="381" t="s">
        <v>0</v>
      </c>
      <c r="C16" s="344" t="s">
        <v>1</v>
      </c>
      <c r="D16" s="345"/>
      <c r="E16" s="344" t="s">
        <v>2</v>
      </c>
      <c r="F16" s="345"/>
    </row>
    <row r="17" spans="1:6" ht="14.25" customHeight="1">
      <c r="A17" s="380"/>
      <c r="B17" s="382"/>
      <c r="C17" s="69" t="s">
        <v>364</v>
      </c>
      <c r="D17" s="79" t="s">
        <v>365</v>
      </c>
      <c r="E17" s="79" t="s">
        <v>364</v>
      </c>
      <c r="F17" s="79" t="s">
        <v>365</v>
      </c>
    </row>
    <row r="18" spans="1:6" ht="14.25" customHeight="1">
      <c r="A18" s="50">
        <v>1</v>
      </c>
      <c r="B18" s="62" t="s">
        <v>464</v>
      </c>
      <c r="C18" s="58"/>
      <c r="D18" s="58">
        <f>+СБД!B107</f>
        <v>13465657778.88</v>
      </c>
      <c r="E18" s="58"/>
      <c r="F18" s="58">
        <f>+СБД!C107</f>
        <v>14516874611.9</v>
      </c>
    </row>
    <row r="19" spans="1:6" ht="14.25" customHeight="1">
      <c r="A19" s="50">
        <v>2</v>
      </c>
      <c r="B19" s="62" t="s">
        <v>465</v>
      </c>
      <c r="C19" s="77"/>
      <c r="D19" s="52">
        <v>0</v>
      </c>
      <c r="E19" s="52"/>
      <c r="F19" s="52">
        <f>+'[3]СБД'!C108</f>
        <v>0</v>
      </c>
    </row>
    <row r="20" spans="1:6" ht="14.25" customHeight="1">
      <c r="A20" s="50">
        <v>3</v>
      </c>
      <c r="B20" s="62" t="s">
        <v>466</v>
      </c>
      <c r="C20" s="77"/>
      <c r="D20" s="52">
        <f>+СБД!B109</f>
        <v>175618888.53</v>
      </c>
      <c r="E20" s="52"/>
      <c r="F20" s="58">
        <f>+СБД!C109</f>
        <v>0</v>
      </c>
    </row>
    <row r="21" spans="1:6" ht="27" customHeight="1">
      <c r="A21" s="50">
        <v>4</v>
      </c>
      <c r="B21" s="91" t="s">
        <v>467</v>
      </c>
      <c r="C21" s="77"/>
      <c r="D21" s="52"/>
      <c r="E21" s="52"/>
      <c r="F21" s="58">
        <f>+'[3]СБД'!C110</f>
        <v>0</v>
      </c>
    </row>
    <row r="22" spans="1:6" ht="26.25" customHeight="1">
      <c r="A22" s="50">
        <v>5</v>
      </c>
      <c r="B22" s="91" t="s">
        <v>468</v>
      </c>
      <c r="C22" s="77"/>
      <c r="D22" s="52"/>
      <c r="E22" s="52"/>
      <c r="F22" s="58">
        <f>+'[3]СБД'!C111</f>
        <v>0</v>
      </c>
    </row>
    <row r="23" spans="1:6" s="8" customFormat="1" ht="14.25" customHeight="1">
      <c r="A23" s="59">
        <v>6</v>
      </c>
      <c r="B23" s="89" t="s">
        <v>17</v>
      </c>
      <c r="C23" s="74">
        <f>SUM(C18:C22)</f>
        <v>0</v>
      </c>
      <c r="D23" s="74">
        <f>SUM(D18:D22)</f>
        <v>13641276667.41</v>
      </c>
      <c r="E23" s="74">
        <f>SUM(E18:E22)</f>
        <v>0</v>
      </c>
      <c r="F23" s="74">
        <f>SUM(F18:F22)</f>
        <v>14516874611.9</v>
      </c>
    </row>
    <row r="25" spans="1:2" ht="14.25" customHeight="1">
      <c r="A25" s="1">
        <v>19</v>
      </c>
      <c r="B25" s="1" t="s">
        <v>469</v>
      </c>
    </row>
    <row r="27" spans="1:6" ht="14.25" customHeight="1">
      <c r="A27" s="379"/>
      <c r="B27" s="381" t="s">
        <v>0</v>
      </c>
      <c r="C27" s="344" t="s">
        <v>1</v>
      </c>
      <c r="D27" s="345"/>
      <c r="E27" s="344" t="s">
        <v>2</v>
      </c>
      <c r="F27" s="345"/>
    </row>
    <row r="28" spans="1:6" ht="14.25" customHeight="1">
      <c r="A28" s="380"/>
      <c r="B28" s="382"/>
      <c r="C28" s="69" t="s">
        <v>364</v>
      </c>
      <c r="D28" s="79" t="s">
        <v>365</v>
      </c>
      <c r="E28" s="79" t="s">
        <v>364</v>
      </c>
      <c r="F28" s="79" t="s">
        <v>365</v>
      </c>
    </row>
    <row r="29" spans="1:6" ht="14.25" customHeight="1">
      <c r="A29" s="50">
        <v>1</v>
      </c>
      <c r="B29" s="62" t="s">
        <v>470</v>
      </c>
      <c r="C29" s="58"/>
      <c r="D29" s="58">
        <f>+СБД!B114</f>
        <v>1401701421.32</v>
      </c>
      <c r="E29" s="58"/>
      <c r="F29" s="58">
        <f>+СБД!C114</f>
        <v>1330059218.58</v>
      </c>
    </row>
    <row r="30" spans="1:6" ht="14.25" customHeight="1">
      <c r="A30" s="50">
        <v>2</v>
      </c>
      <c r="B30" s="62" t="s">
        <v>471</v>
      </c>
      <c r="C30" s="77"/>
      <c r="D30" s="58">
        <f>+СБД!B115</f>
        <v>0</v>
      </c>
      <c r="E30" s="52"/>
      <c r="F30" s="58">
        <f>+СБД!C115</f>
        <v>0</v>
      </c>
    </row>
    <row r="31" spans="1:6" ht="14.25" customHeight="1">
      <c r="A31" s="50">
        <v>3</v>
      </c>
      <c r="B31" s="62" t="s">
        <v>472</v>
      </c>
      <c r="C31" s="77"/>
      <c r="D31" s="58">
        <f>+СБД!B116</f>
        <v>694169809.8199999</v>
      </c>
      <c r="E31" s="52"/>
      <c r="F31" s="58">
        <f>+СБД!C116</f>
        <v>854025342.86</v>
      </c>
    </row>
    <row r="32" spans="1:6" s="8" customFormat="1" ht="14.25" customHeight="1">
      <c r="A32" s="59">
        <v>6</v>
      </c>
      <c r="B32" s="89" t="s">
        <v>17</v>
      </c>
      <c r="C32" s="74">
        <f>SUM(C29:C31)</f>
        <v>0</v>
      </c>
      <c r="D32" s="74">
        <f>SUM(D29:D31)</f>
        <v>2095871231.1399999</v>
      </c>
      <c r="E32" s="74">
        <f>SUM(E29:E31)</f>
        <v>0</v>
      </c>
      <c r="F32" s="74">
        <f>SUM(F29:F31)</f>
        <v>2184084561.44</v>
      </c>
    </row>
    <row r="34" spans="1:2" ht="14.25" customHeight="1">
      <c r="A34" s="1">
        <v>20</v>
      </c>
      <c r="B34" s="1" t="s">
        <v>473</v>
      </c>
    </row>
    <row r="36" spans="1:6" ht="14.25" customHeight="1">
      <c r="A36" s="379"/>
      <c r="B36" s="381" t="s">
        <v>0</v>
      </c>
      <c r="C36" s="344" t="s">
        <v>1</v>
      </c>
      <c r="D36" s="345"/>
      <c r="E36" s="344" t="s">
        <v>2</v>
      </c>
      <c r="F36" s="345"/>
    </row>
    <row r="37" spans="1:6" ht="14.25" customHeight="1">
      <c r="A37" s="380"/>
      <c r="B37" s="382"/>
      <c r="C37" s="69" t="s">
        <v>364</v>
      </c>
      <c r="D37" s="79" t="s">
        <v>365</v>
      </c>
      <c r="E37" s="79" t="s">
        <v>364</v>
      </c>
      <c r="F37" s="79" t="s">
        <v>365</v>
      </c>
    </row>
    <row r="38" spans="1:6" ht="14.25" customHeight="1">
      <c r="A38" s="50">
        <v>1</v>
      </c>
      <c r="B38" s="62" t="s">
        <v>474</v>
      </c>
      <c r="C38" s="58"/>
      <c r="D38" s="54"/>
      <c r="E38" s="54"/>
      <c r="F38" s="54"/>
    </row>
    <row r="39" spans="1:6" ht="14.25" customHeight="1">
      <c r="A39" s="50">
        <v>2</v>
      </c>
      <c r="B39" s="62" t="s">
        <v>458</v>
      </c>
      <c r="C39" s="77"/>
      <c r="D39" s="58">
        <f>+СБД!B127</f>
        <v>0</v>
      </c>
      <c r="E39" s="58"/>
      <c r="F39" s="58">
        <f>+СБД!C127</f>
        <v>2000000000</v>
      </c>
    </row>
    <row r="40" spans="1:6" ht="14.25" customHeight="1">
      <c r="A40" s="50">
        <v>3</v>
      </c>
      <c r="B40" s="62" t="s">
        <v>459</v>
      </c>
      <c r="C40" s="77"/>
      <c r="D40" s="58">
        <f>+СБД!B128</f>
        <v>0</v>
      </c>
      <c r="E40" s="52"/>
      <c r="F40" s="58">
        <f>+СБД!C128</f>
        <v>0</v>
      </c>
    </row>
    <row r="41" spans="1:6" ht="14.25" customHeight="1">
      <c r="A41" s="50">
        <v>4</v>
      </c>
      <c r="B41" s="62" t="s">
        <v>475</v>
      </c>
      <c r="C41" s="77"/>
      <c r="D41" s="58">
        <f>+СБД!B129</f>
        <v>314901631.18</v>
      </c>
      <c r="E41" s="52"/>
      <c r="F41" s="58">
        <f>+СБД!C129</f>
        <v>851744437</v>
      </c>
    </row>
    <row r="42" spans="1:6" s="8" customFormat="1" ht="14.25" customHeight="1">
      <c r="A42" s="59">
        <v>5</v>
      </c>
      <c r="B42" s="89" t="s">
        <v>17</v>
      </c>
      <c r="C42" s="74">
        <f>SUM(C39:C41)</f>
        <v>0</v>
      </c>
      <c r="D42" s="74">
        <f>SUM(D39:D41)</f>
        <v>314901631.18</v>
      </c>
      <c r="E42" s="74">
        <f>SUM(E39:E41)</f>
        <v>0</v>
      </c>
      <c r="F42" s="74">
        <f>SUM(F39:F41)</f>
        <v>2851744437</v>
      </c>
    </row>
    <row r="44" spans="1:2" ht="14.25" customHeight="1">
      <c r="A44" s="1">
        <v>21</v>
      </c>
      <c r="B44" s="1" t="s">
        <v>358</v>
      </c>
    </row>
  </sheetData>
  <sheetProtection/>
  <mergeCells count="16">
    <mergeCell ref="A27:A28"/>
    <mergeCell ref="B27:B28"/>
    <mergeCell ref="C27:D27"/>
    <mergeCell ref="E27:F27"/>
    <mergeCell ref="A36:A37"/>
    <mergeCell ref="B36:B37"/>
    <mergeCell ref="C36:D36"/>
    <mergeCell ref="E36:F36"/>
    <mergeCell ref="A4:A5"/>
    <mergeCell ref="B4:B5"/>
    <mergeCell ref="C4:D4"/>
    <mergeCell ref="E4:F4"/>
    <mergeCell ref="A16:A17"/>
    <mergeCell ref="B16:B17"/>
    <mergeCell ref="C16:D16"/>
    <mergeCell ref="E16:F16"/>
  </mergeCells>
  <printOptions horizontalCentered="1" verticalCentered="1"/>
  <pageMargins left="0.35" right="0.5" top="0.35" bottom="0.35" header="0.4" footer="0.3"/>
  <pageSetup fitToHeight="1" fitToWidth="1" horizontalDpi="600" verticalDpi="600" orientation="portrait" paperSize="9" scale="85" r:id="rId1"/>
  <headerFooter alignWithMargins="0"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2:D24"/>
  <sheetViews>
    <sheetView showGridLines="0" zoomScaleSheetLayoutView="100" workbookViewId="0" topLeftCell="A6">
      <selection activeCell="G14" sqref="G14"/>
    </sheetView>
  </sheetViews>
  <sheetFormatPr defaultColWidth="9.140625" defaultRowHeight="16.5" customHeight="1"/>
  <cols>
    <col min="1" max="1" width="9.140625" style="1" customWidth="1"/>
    <col min="2" max="2" width="35.8515625" style="1" bestFit="1" customWidth="1"/>
    <col min="3" max="4" width="24.421875" style="22" customWidth="1"/>
    <col min="5" max="16384" width="9.140625" style="1" customWidth="1"/>
  </cols>
  <sheetData>
    <row r="2" spans="1:2" ht="16.5" customHeight="1">
      <c r="A2" s="1">
        <v>22</v>
      </c>
      <c r="B2" s="1" t="s">
        <v>476</v>
      </c>
    </row>
    <row r="3" spans="3:4" s="71" customFormat="1" ht="16.5" customHeight="1">
      <c r="C3" s="92"/>
      <c r="D3" s="92"/>
    </row>
    <row r="4" spans="1:4" s="80" customFormat="1" ht="25.5" customHeight="1">
      <c r="A4" s="98"/>
      <c r="B4" s="98" t="s">
        <v>477</v>
      </c>
      <c r="C4" s="162" t="s">
        <v>1</v>
      </c>
      <c r="D4" s="162" t="s">
        <v>2</v>
      </c>
    </row>
    <row r="5" spans="1:4" s="35" customFormat="1" ht="16.5" customHeight="1">
      <c r="A5" s="168">
        <v>1</v>
      </c>
      <c r="B5" s="93" t="s">
        <v>478</v>
      </c>
      <c r="C5" s="94" t="e">
        <f>+ОДТ!#REF!</f>
        <v>#REF!</v>
      </c>
      <c r="D5" s="94">
        <f>+ОДТ!B9</f>
        <v>4673238823.36</v>
      </c>
    </row>
    <row r="6" spans="1:4" s="35" customFormat="1" ht="16.5" customHeight="1">
      <c r="A6" s="168">
        <v>2</v>
      </c>
      <c r="B6" s="93" t="s">
        <v>479</v>
      </c>
      <c r="C6" s="94" t="e">
        <f>+ОДТ!#REF!</f>
        <v>#REF!</v>
      </c>
      <c r="D6" s="94">
        <f>+ОДТ!B10</f>
        <v>904068616.5</v>
      </c>
    </row>
    <row r="7" spans="1:4" s="95" customFormat="1" ht="16.5" customHeight="1">
      <c r="A7" s="168">
        <v>3</v>
      </c>
      <c r="B7" s="93" t="s">
        <v>480</v>
      </c>
      <c r="C7" s="94" t="e">
        <f>+ОДТ!#REF!</f>
        <v>#REF!</v>
      </c>
      <c r="D7" s="94">
        <f>+ОДТ!B18</f>
        <v>0</v>
      </c>
    </row>
    <row r="8" spans="1:4" s="35" customFormat="1" ht="16.5" customHeight="1">
      <c r="A8" s="168">
        <v>4</v>
      </c>
      <c r="B8" s="93" t="s">
        <v>481</v>
      </c>
      <c r="C8" s="94" t="e">
        <f>+ОДТ!#REF!</f>
        <v>#REF!</v>
      </c>
      <c r="D8" s="94">
        <f>+ОДТ!B28</f>
        <v>97054484.68</v>
      </c>
    </row>
    <row r="9" spans="1:4" s="95" customFormat="1" ht="16.5" customHeight="1">
      <c r="A9" s="168">
        <v>5</v>
      </c>
      <c r="B9" s="93" t="s">
        <v>539</v>
      </c>
      <c r="C9" s="94" t="e">
        <f>+ОДТ!#REF!</f>
        <v>#REF!</v>
      </c>
      <c r="D9" s="94">
        <f>+ОДТ!B31</f>
        <v>336872956.43</v>
      </c>
    </row>
    <row r="10" spans="1:4" s="95" customFormat="1" ht="16.5" customHeight="1">
      <c r="A10" s="168">
        <v>6</v>
      </c>
      <c r="B10" s="93" t="s">
        <v>482</v>
      </c>
      <c r="C10" s="94" t="e">
        <f>+ОДТ!#REF!</f>
        <v>#REF!</v>
      </c>
      <c r="D10" s="94">
        <v>2702543629.15</v>
      </c>
    </row>
    <row r="11" spans="1:4" s="95" customFormat="1" ht="16.5" customHeight="1">
      <c r="A11" s="168">
        <v>7</v>
      </c>
      <c r="B11" s="93" t="s">
        <v>520</v>
      </c>
      <c r="C11" s="94" t="e">
        <f>ОДТ!#REF!</f>
        <v>#REF!</v>
      </c>
      <c r="D11" s="94">
        <f>ОДТ!B38</f>
        <v>0</v>
      </c>
    </row>
    <row r="12" spans="1:4" s="35" customFormat="1" ht="16.5" customHeight="1">
      <c r="A12" s="168">
        <v>8</v>
      </c>
      <c r="B12" s="93" t="s">
        <v>483</v>
      </c>
      <c r="C12" s="94" t="e">
        <f>+ОДТ!#REF!</f>
        <v>#REF!</v>
      </c>
      <c r="D12" s="94">
        <f>+ОДТ!B16</f>
        <v>32456655.84</v>
      </c>
    </row>
    <row r="13" spans="1:4" s="35" customFormat="1" ht="16.5" customHeight="1">
      <c r="A13" s="168">
        <v>9</v>
      </c>
      <c r="B13" s="93" t="s">
        <v>484</v>
      </c>
      <c r="C13" s="94" t="e">
        <f>+ОДТ!#REF!</f>
        <v>#REF!</v>
      </c>
      <c r="D13" s="94">
        <f>+ОДТ!B17</f>
        <v>0</v>
      </c>
    </row>
    <row r="14" spans="1:4" s="35" customFormat="1" ht="16.5" customHeight="1">
      <c r="A14" s="168">
        <v>10</v>
      </c>
      <c r="B14" s="93" t="s">
        <v>496</v>
      </c>
      <c r="C14" s="94" t="e">
        <f>+ОДТ!#REF!</f>
        <v>#REF!</v>
      </c>
      <c r="D14" s="94">
        <f>+ОДТ!B29</f>
        <v>70184.93</v>
      </c>
    </row>
    <row r="15" spans="1:4" s="35" customFormat="1" ht="16.5" customHeight="1">
      <c r="A15" s="168">
        <v>11</v>
      </c>
      <c r="B15" s="93" t="s">
        <v>497</v>
      </c>
      <c r="C15" s="94" t="e">
        <f>+ОДТ!#REF!</f>
        <v>#REF!</v>
      </c>
      <c r="D15" s="94">
        <f>+ОДТ!B32</f>
        <v>0</v>
      </c>
    </row>
    <row r="16" spans="1:4" s="35" customFormat="1" ht="16.5" customHeight="1">
      <c r="A16" s="168">
        <v>12</v>
      </c>
      <c r="B16" s="93" t="s">
        <v>538</v>
      </c>
      <c r="C16" s="94" t="e">
        <f>ОДТ!#REF!</f>
        <v>#REF!</v>
      </c>
      <c r="D16" s="94">
        <f>ОДТ!B40</f>
        <v>437292218.84</v>
      </c>
    </row>
    <row r="17" spans="1:4" s="35" customFormat="1" ht="16.5" customHeight="1">
      <c r="A17" s="168">
        <v>13</v>
      </c>
      <c r="B17" s="93" t="s">
        <v>498</v>
      </c>
      <c r="C17" s="94" t="e">
        <f>+ОДТ!#REF!</f>
        <v>#REF!</v>
      </c>
      <c r="D17" s="94">
        <f>+ОДТ!B95</f>
        <v>0</v>
      </c>
    </row>
    <row r="18" spans="1:4" s="35" customFormat="1" ht="16.5" customHeight="1">
      <c r="A18" s="168">
        <v>14</v>
      </c>
      <c r="B18" s="93" t="s">
        <v>522</v>
      </c>
      <c r="C18" s="94" t="e">
        <f>+ОДТ!#REF!</f>
        <v>#REF!</v>
      </c>
      <c r="D18" s="94">
        <v>386329952.1</v>
      </c>
    </row>
    <row r="19" spans="1:4" s="35" customFormat="1" ht="16.5" customHeight="1">
      <c r="A19" s="168">
        <v>15</v>
      </c>
      <c r="B19" s="93" t="s">
        <v>499</v>
      </c>
      <c r="C19" s="94" t="e">
        <f>+ОДТ!#REF!</f>
        <v>#REF!</v>
      </c>
      <c r="D19" s="94">
        <f>+ОДТ!B98</f>
        <v>1417908329.87</v>
      </c>
    </row>
    <row r="20" spans="1:4" s="35" customFormat="1" ht="16.5" customHeight="1">
      <c r="A20" s="168">
        <v>16</v>
      </c>
      <c r="B20" s="93" t="s">
        <v>500</v>
      </c>
      <c r="C20" s="94" t="e">
        <f>+ОДТ!#REF!</f>
        <v>#REF!</v>
      </c>
      <c r="D20" s="94">
        <f>+ОДТ!B11</f>
        <v>62884909.91</v>
      </c>
    </row>
    <row r="21" spans="1:4" s="35" customFormat="1" ht="16.5" customHeight="1">
      <c r="A21" s="168">
        <v>17</v>
      </c>
      <c r="B21" s="93" t="s">
        <v>545</v>
      </c>
      <c r="C21" s="94" t="e">
        <f>+ОДТ!#REF!</f>
        <v>#REF!</v>
      </c>
      <c r="D21" s="94">
        <f>+ОДТ!B96</f>
        <v>0</v>
      </c>
    </row>
    <row r="22" spans="1:4" s="35" customFormat="1" ht="16.5" customHeight="1">
      <c r="A22" s="168">
        <v>18</v>
      </c>
      <c r="B22" s="93" t="s">
        <v>521</v>
      </c>
      <c r="C22" s="94" t="e">
        <f>+ОДТ!#REF!</f>
        <v>#REF!</v>
      </c>
      <c r="D22" s="94">
        <f>ОДТ!B97</f>
        <v>0</v>
      </c>
    </row>
    <row r="23" spans="1:4" s="35" customFormat="1" ht="16.5" customHeight="1">
      <c r="A23" s="97"/>
      <c r="B23" s="98" t="s">
        <v>17</v>
      </c>
      <c r="C23" s="99" t="e">
        <f>SUM(C5:C22)</f>
        <v>#REF!</v>
      </c>
      <c r="D23" s="99">
        <f>SUM(D5:D22)</f>
        <v>11050720761.61</v>
      </c>
    </row>
    <row r="24" spans="3:4" s="35" customFormat="1" ht="16.5" customHeight="1">
      <c r="C24" s="96"/>
      <c r="D24" s="96"/>
    </row>
  </sheetData>
  <sheetProtection/>
  <printOptions horizontalCentered="1"/>
  <pageMargins left="0.2" right="0.35" top="0.6" bottom="0.6" header="0.4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SheetLayoutView="10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1" sqref="B31"/>
    </sheetView>
  </sheetViews>
  <sheetFormatPr defaultColWidth="9.140625" defaultRowHeight="12.75"/>
  <cols>
    <col min="1" max="1" width="65.7109375" style="4" customWidth="1"/>
    <col min="2" max="2" width="20.28125" style="101" customWidth="1"/>
    <col min="3" max="3" width="15.7109375" style="147" bestFit="1" customWidth="1"/>
    <col min="4" max="4" width="11.8515625" style="4" bestFit="1" customWidth="1"/>
    <col min="5" max="16384" width="9.140625" style="4" customWidth="1"/>
  </cols>
  <sheetData>
    <row r="1" spans="1:2" ht="12.75">
      <c r="A1" s="103"/>
      <c r="B1" s="313"/>
    </row>
    <row r="2" ht="12.75">
      <c r="B2" s="312"/>
    </row>
    <row r="3" spans="1:2" ht="12.75">
      <c r="A3" s="104" t="s">
        <v>263</v>
      </c>
      <c r="B3" s="102" t="s">
        <v>262</v>
      </c>
    </row>
    <row r="4" spans="1:2" ht="12.75">
      <c r="A4" s="317" t="s">
        <v>157</v>
      </c>
      <c r="B4" s="317"/>
    </row>
    <row r="5" spans="1:2" ht="12.75">
      <c r="A5" s="195"/>
      <c r="B5" s="196"/>
    </row>
    <row r="6" spans="1:2" ht="12.75">
      <c r="A6" s="195" t="str">
        <f>СБД!A6</f>
        <v>2023 оны 06 сарын 30 өдөр</v>
      </c>
      <c r="B6" s="198" t="s">
        <v>485</v>
      </c>
    </row>
    <row r="7" spans="1:2" ht="12.75">
      <c r="A7" s="200" t="s">
        <v>0</v>
      </c>
      <c r="B7" s="200" t="s">
        <v>546</v>
      </c>
    </row>
    <row r="8" spans="1:2" ht="12.75">
      <c r="A8" s="156" t="s">
        <v>174</v>
      </c>
      <c r="B8" s="201">
        <f>SUM(B9:B18)</f>
        <v>5672649005.61</v>
      </c>
    </row>
    <row r="9" spans="1:2" ht="12.75">
      <c r="A9" s="155" t="s">
        <v>159</v>
      </c>
      <c r="B9" s="199">
        <v>4673238823.36</v>
      </c>
    </row>
    <row r="10" spans="1:2" ht="12.75">
      <c r="A10" s="109" t="s">
        <v>160</v>
      </c>
      <c r="B10" s="110">
        <v>904068616.5</v>
      </c>
    </row>
    <row r="11" spans="1:2" ht="12.75">
      <c r="A11" s="109" t="s">
        <v>161</v>
      </c>
      <c r="B11" s="110">
        <v>62884909.91</v>
      </c>
    </row>
    <row r="12" spans="1:2" ht="13.5" customHeight="1">
      <c r="A12" s="109" t="s">
        <v>162</v>
      </c>
      <c r="B12" s="110"/>
    </row>
    <row r="13" spans="1:2" ht="12.75">
      <c r="A13" s="109" t="s">
        <v>163</v>
      </c>
      <c r="B13" s="110"/>
    </row>
    <row r="14" spans="1:2" ht="13.5" customHeight="1">
      <c r="A14" s="109" t="s">
        <v>164</v>
      </c>
      <c r="B14" s="110"/>
    </row>
    <row r="15" spans="1:2" ht="12.75" customHeight="1">
      <c r="A15" s="109" t="s">
        <v>165</v>
      </c>
      <c r="B15" s="110"/>
    </row>
    <row r="16" spans="1:2" ht="12.75">
      <c r="A16" s="109" t="s">
        <v>166</v>
      </c>
      <c r="B16" s="110">
        <v>32456655.84</v>
      </c>
    </row>
    <row r="17" spans="1:2" ht="12.75">
      <c r="A17" s="109" t="s">
        <v>167</v>
      </c>
      <c r="B17" s="110"/>
    </row>
    <row r="18" spans="1:2" ht="12.75">
      <c r="A18" s="109" t="s">
        <v>168</v>
      </c>
      <c r="B18" s="110"/>
    </row>
    <row r="19" spans="1:2" ht="12.75">
      <c r="A19" s="6" t="s">
        <v>175</v>
      </c>
      <c r="B19" s="120">
        <f>SUM(B20:B24)</f>
        <v>1803535354.7599998</v>
      </c>
    </row>
    <row r="20" spans="1:2" ht="12.75">
      <c r="A20" s="109" t="s">
        <v>169</v>
      </c>
      <c r="B20" s="5">
        <v>6395630.62</v>
      </c>
    </row>
    <row r="21" spans="1:2" ht="12.75" customHeight="1">
      <c r="A21" s="109" t="s">
        <v>170</v>
      </c>
      <c r="B21" s="5">
        <v>1357767157.04</v>
      </c>
    </row>
    <row r="22" spans="1:2" ht="12.75">
      <c r="A22" s="109" t="s">
        <v>171</v>
      </c>
      <c r="B22" s="5"/>
    </row>
    <row r="23" spans="1:2" ht="12.75">
      <c r="A23" s="109" t="s">
        <v>172</v>
      </c>
      <c r="B23" s="5">
        <v>439372567.1</v>
      </c>
    </row>
    <row r="24" spans="1:2" ht="12.75">
      <c r="A24" s="109" t="s">
        <v>173</v>
      </c>
      <c r="B24" s="5"/>
    </row>
    <row r="25" spans="1:2" ht="18" customHeight="1">
      <c r="A25" s="121" t="s">
        <v>176</v>
      </c>
      <c r="B25" s="122">
        <f>+B8-B19</f>
        <v>3869113650.85</v>
      </c>
    </row>
    <row r="26" spans="1:2" ht="12.75">
      <c r="A26" s="6" t="s">
        <v>177</v>
      </c>
      <c r="B26" s="120">
        <f>+B27+B30+B33</f>
        <v>2047629559.1599998</v>
      </c>
    </row>
    <row r="27" spans="1:2" ht="12.75">
      <c r="A27" s="111" t="s">
        <v>178</v>
      </c>
      <c r="B27" s="108">
        <f>SUM(B28:B29)</f>
        <v>97124669.61000001</v>
      </c>
    </row>
    <row r="28" spans="1:2" ht="12.75">
      <c r="A28" s="112" t="s">
        <v>179</v>
      </c>
      <c r="B28" s="5">
        <v>97054484.68</v>
      </c>
    </row>
    <row r="29" spans="1:2" ht="12.75">
      <c r="A29" s="112" t="s">
        <v>180</v>
      </c>
      <c r="B29" s="5">
        <v>70184.93</v>
      </c>
    </row>
    <row r="30" spans="1:2" ht="12.75">
      <c r="A30" s="111" t="s">
        <v>181</v>
      </c>
      <c r="B30" s="174">
        <f>SUM(B31:B32)</f>
        <v>336872956.43</v>
      </c>
    </row>
    <row r="31" spans="1:2" ht="12.75">
      <c r="A31" s="112" t="s">
        <v>182</v>
      </c>
      <c r="B31" s="5">
        <v>336872956.43</v>
      </c>
    </row>
    <row r="32" spans="1:2" ht="12.75">
      <c r="A32" s="112" t="s">
        <v>491</v>
      </c>
      <c r="B32" s="5"/>
    </row>
    <row r="33" spans="1:2" ht="12.75">
      <c r="A33" s="111" t="s">
        <v>183</v>
      </c>
      <c r="B33" s="174">
        <f>SUM(B34:B40)</f>
        <v>1613631933.12</v>
      </c>
    </row>
    <row r="34" spans="1:2" ht="12.75">
      <c r="A34" s="112" t="s">
        <v>184</v>
      </c>
      <c r="B34" s="5"/>
    </row>
    <row r="35" spans="1:2" ht="12.75">
      <c r="A35" s="112" t="s">
        <v>185</v>
      </c>
      <c r="B35" s="5"/>
    </row>
    <row r="36" spans="1:2" ht="12.75">
      <c r="A36" s="112" t="s">
        <v>186</v>
      </c>
      <c r="B36" s="110">
        <v>24336793.76</v>
      </c>
    </row>
    <row r="37" spans="1:2" ht="12.75">
      <c r="A37" s="112" t="s">
        <v>187</v>
      </c>
      <c r="B37" s="110">
        <v>454858.06</v>
      </c>
    </row>
    <row r="38" spans="1:2" ht="12.75">
      <c r="A38" s="112" t="s">
        <v>188</v>
      </c>
      <c r="B38" s="5"/>
    </row>
    <row r="39" spans="1:2" ht="12.75">
      <c r="A39" s="112" t="s">
        <v>189</v>
      </c>
      <c r="B39" s="5">
        <v>1151548062.46</v>
      </c>
    </row>
    <row r="40" spans="1:2" ht="12.75">
      <c r="A40" s="112" t="s">
        <v>190</v>
      </c>
      <c r="B40" s="5">
        <v>437292218.84</v>
      </c>
    </row>
    <row r="41" spans="1:2" ht="12.75">
      <c r="A41" s="6" t="s">
        <v>191</v>
      </c>
      <c r="B41" s="120">
        <f>+B42+B47+B57</f>
        <v>4161173855</v>
      </c>
    </row>
    <row r="42" spans="1:2" ht="12.75">
      <c r="A42" s="111" t="s">
        <v>192</v>
      </c>
      <c r="B42" s="108">
        <f>SUM(B43:B46)</f>
        <v>428614098.25</v>
      </c>
    </row>
    <row r="43" spans="1:2" ht="12.75">
      <c r="A43" s="112" t="s">
        <v>193</v>
      </c>
      <c r="B43" s="5">
        <v>90492007.53</v>
      </c>
    </row>
    <row r="44" spans="1:2" ht="12.75">
      <c r="A44" s="112" t="s">
        <v>194</v>
      </c>
      <c r="B44" s="5"/>
    </row>
    <row r="45" spans="1:2" ht="12.75">
      <c r="A45" s="112" t="s">
        <v>195</v>
      </c>
      <c r="B45" s="5">
        <v>338122090.72</v>
      </c>
    </row>
    <row r="46" spans="1:2" ht="12.75">
      <c r="A46" s="112" t="s">
        <v>196</v>
      </c>
      <c r="B46" s="5"/>
    </row>
    <row r="47" spans="1:2" ht="12.75">
      <c r="A47" s="111" t="s">
        <v>197</v>
      </c>
      <c r="B47" s="108">
        <f>SUM(B48:B56)</f>
        <v>948958023.94</v>
      </c>
    </row>
    <row r="48" spans="1:2" ht="12.75">
      <c r="A48" s="112" t="s">
        <v>198</v>
      </c>
      <c r="B48" s="5">
        <v>624649320</v>
      </c>
    </row>
    <row r="49" spans="1:2" ht="12.75">
      <c r="A49" s="112" t="s">
        <v>199</v>
      </c>
      <c r="B49" s="191">
        <v>216830116</v>
      </c>
    </row>
    <row r="50" spans="1:2" ht="12.75">
      <c r="A50" s="113" t="s">
        <v>200</v>
      </c>
      <c r="B50" s="165"/>
    </row>
    <row r="51" spans="1:2" ht="12.75">
      <c r="A51" s="113" t="s">
        <v>201</v>
      </c>
      <c r="B51" s="165">
        <v>1166147</v>
      </c>
    </row>
    <row r="52" spans="1:2" ht="12.75">
      <c r="A52" s="113" t="s">
        <v>202</v>
      </c>
      <c r="B52" s="165"/>
    </row>
    <row r="53" spans="1:2" ht="12.75">
      <c r="A53" s="113" t="s">
        <v>203</v>
      </c>
      <c r="B53" s="165">
        <v>97107901.58</v>
      </c>
    </row>
    <row r="54" spans="1:2" ht="12.75">
      <c r="A54" s="113" t="s">
        <v>204</v>
      </c>
      <c r="B54" s="165">
        <v>5935343.36</v>
      </c>
    </row>
    <row r="55" spans="1:2" ht="12.75">
      <c r="A55" s="113" t="s">
        <v>205</v>
      </c>
      <c r="B55" s="165">
        <v>3269196</v>
      </c>
    </row>
    <row r="56" spans="1:2" ht="12.75">
      <c r="A56" s="113" t="s">
        <v>206</v>
      </c>
      <c r="B56" s="114"/>
    </row>
    <row r="57" spans="1:2" ht="12.75">
      <c r="A57" s="180" t="s">
        <v>207</v>
      </c>
      <c r="B57" s="172">
        <f>SUM(B58:B82)</f>
        <v>2783601732.81</v>
      </c>
    </row>
    <row r="58" spans="1:2" ht="26.25">
      <c r="A58" s="113" t="s">
        <v>208</v>
      </c>
      <c r="B58" s="165"/>
    </row>
    <row r="59" spans="1:2" ht="26.25">
      <c r="A59" s="113" t="s">
        <v>209</v>
      </c>
      <c r="B59" s="165">
        <v>152721004.4</v>
      </c>
    </row>
    <row r="60" spans="1:2" ht="12.75">
      <c r="A60" s="113" t="s">
        <v>210</v>
      </c>
      <c r="B60" s="165"/>
    </row>
    <row r="61" spans="1:2" ht="12.75">
      <c r="A61" s="113" t="s">
        <v>211</v>
      </c>
      <c r="B61" s="165"/>
    </row>
    <row r="62" spans="1:2" ht="13.5" customHeight="1">
      <c r="A62" s="113" t="s">
        <v>212</v>
      </c>
      <c r="B62" s="165">
        <v>1149262175.6</v>
      </c>
    </row>
    <row r="63" spans="1:2" ht="12.75">
      <c r="A63" s="113" t="s">
        <v>213</v>
      </c>
      <c r="B63" s="165">
        <f>408724800+8100616.14</f>
        <v>416825416.14</v>
      </c>
    </row>
    <row r="64" spans="1:2" ht="12.75">
      <c r="A64" s="113" t="s">
        <v>214</v>
      </c>
      <c r="B64" s="165">
        <v>10911798.5</v>
      </c>
    </row>
    <row r="65" spans="1:2" ht="12.75">
      <c r="A65" s="113" t="s">
        <v>215</v>
      </c>
      <c r="B65" s="165">
        <v>42508530</v>
      </c>
    </row>
    <row r="66" spans="1:2" ht="12" customHeight="1">
      <c r="A66" s="113" t="s">
        <v>216</v>
      </c>
      <c r="B66" s="165">
        <v>6600000</v>
      </c>
    </row>
    <row r="67" spans="1:2" ht="12.75">
      <c r="A67" s="113" t="s">
        <v>217</v>
      </c>
      <c r="B67" s="165">
        <v>212913973.22</v>
      </c>
    </row>
    <row r="68" spans="1:2" ht="12.75">
      <c r="A68" s="113" t="s">
        <v>218</v>
      </c>
      <c r="B68" s="165">
        <v>9967000.21</v>
      </c>
    </row>
    <row r="69" spans="1:2" ht="12.75">
      <c r="A69" s="113" t="s">
        <v>219</v>
      </c>
      <c r="B69" s="165">
        <v>6706806.8</v>
      </c>
    </row>
    <row r="70" spans="1:2" ht="12.75">
      <c r="A70" s="113" t="s">
        <v>220</v>
      </c>
      <c r="B70" s="165">
        <v>9748329</v>
      </c>
    </row>
    <row r="71" spans="1:2" ht="12.75">
      <c r="A71" s="113" t="s">
        <v>221</v>
      </c>
      <c r="B71" s="165">
        <f>2362714+1437900</f>
        <v>3800614</v>
      </c>
    </row>
    <row r="72" spans="1:2" ht="12.75">
      <c r="A72" s="113" t="s">
        <v>222</v>
      </c>
      <c r="B72" s="165">
        <v>18860116.28</v>
      </c>
    </row>
    <row r="73" spans="1:2" ht="12.75">
      <c r="A73" s="113" t="s">
        <v>223</v>
      </c>
      <c r="B73" s="165">
        <v>51900</v>
      </c>
    </row>
    <row r="74" spans="1:2" ht="12.75">
      <c r="A74" s="113" t="s">
        <v>224</v>
      </c>
      <c r="B74" s="165"/>
    </row>
    <row r="75" spans="1:2" ht="12.75">
      <c r="A75" s="113" t="s">
        <v>225</v>
      </c>
      <c r="B75" s="165">
        <v>207808833.58</v>
      </c>
    </row>
    <row r="76" spans="1:2" ht="12.75">
      <c r="A76" s="113" t="s">
        <v>226</v>
      </c>
      <c r="B76" s="165"/>
    </row>
    <row r="77" spans="1:2" ht="12.75">
      <c r="A77" s="113" t="s">
        <v>227</v>
      </c>
      <c r="B77" s="165">
        <v>157107595.6</v>
      </c>
    </row>
    <row r="78" spans="1:2" ht="12.75">
      <c r="A78" s="113" t="s">
        <v>228</v>
      </c>
      <c r="B78" s="165">
        <v>49473669</v>
      </c>
    </row>
    <row r="79" spans="1:2" ht="12.75">
      <c r="A79" s="113" t="s">
        <v>229</v>
      </c>
      <c r="B79" s="165">
        <v>57898310</v>
      </c>
    </row>
    <row r="80" spans="1:2" ht="12.75">
      <c r="A80" s="113" t="s">
        <v>230</v>
      </c>
      <c r="B80" s="165"/>
    </row>
    <row r="81" spans="1:2" ht="12.75">
      <c r="A81" s="113" t="s">
        <v>231</v>
      </c>
      <c r="B81" s="165"/>
    </row>
    <row r="82" spans="1:2" ht="15" customHeight="1">
      <c r="A82" s="154" t="s">
        <v>232</v>
      </c>
      <c r="B82" s="165">
        <f>245862045.17+24573615.31</f>
        <v>270435660.47999996</v>
      </c>
    </row>
    <row r="83" spans="1:2" ht="17.25" customHeight="1">
      <c r="A83" s="181" t="s">
        <v>233</v>
      </c>
      <c r="B83" s="192">
        <f>B26-B41</f>
        <v>-2113544295.8400002</v>
      </c>
    </row>
    <row r="84" spans="1:2" ht="26.25" customHeight="1">
      <c r="A84" s="182" t="s">
        <v>234</v>
      </c>
      <c r="B84" s="193">
        <f>+B25+B83</f>
        <v>1755569355.0099998</v>
      </c>
    </row>
    <row r="85" spans="1:3" s="115" customFormat="1" ht="12.75">
      <c r="A85" s="183" t="s">
        <v>235</v>
      </c>
      <c r="B85" s="172">
        <f>SUM(B86:B91)</f>
        <v>2040151201.49</v>
      </c>
      <c r="C85" s="245"/>
    </row>
    <row r="86" spans="1:2" ht="12.75">
      <c r="A86" s="184" t="s">
        <v>236</v>
      </c>
      <c r="B86" s="114"/>
    </row>
    <row r="87" spans="1:2" ht="12.75">
      <c r="A87" s="185" t="s">
        <v>237</v>
      </c>
      <c r="B87" s="165">
        <v>2016833573.54</v>
      </c>
    </row>
    <row r="88" spans="1:2" ht="12.75">
      <c r="A88" s="139" t="s">
        <v>238</v>
      </c>
      <c r="B88" s="165"/>
    </row>
    <row r="89" spans="1:2" ht="12.75">
      <c r="A89" s="139" t="s">
        <v>239</v>
      </c>
      <c r="B89" s="165"/>
    </row>
    <row r="90" spans="1:2" ht="12.75">
      <c r="A90" s="139" t="s">
        <v>240</v>
      </c>
      <c r="B90" s="165">
        <v>23317627.95</v>
      </c>
    </row>
    <row r="91" spans="1:2" ht="12.75">
      <c r="A91" s="139" t="s">
        <v>241</v>
      </c>
      <c r="B91" s="165"/>
    </row>
    <row r="92" spans="1:2" ht="12.75">
      <c r="A92" s="186" t="s">
        <v>242</v>
      </c>
      <c r="B92" s="193">
        <f>B84-B85</f>
        <v>-284581846.48000026</v>
      </c>
    </row>
    <row r="93" spans="1:2" ht="12.75">
      <c r="A93" s="187" t="s">
        <v>243</v>
      </c>
      <c r="B93" s="172">
        <f>SUM(B94:B99)</f>
        <v>1417908329.87</v>
      </c>
    </row>
    <row r="94" spans="1:2" ht="12.75">
      <c r="A94" s="139" t="s">
        <v>244</v>
      </c>
      <c r="B94" s="114"/>
    </row>
    <row r="95" spans="1:2" ht="12.75">
      <c r="A95" s="139" t="s">
        <v>245</v>
      </c>
      <c r="B95" s="114"/>
    </row>
    <row r="96" spans="1:2" ht="12.75">
      <c r="A96" s="139" t="s">
        <v>246</v>
      </c>
      <c r="B96" s="114"/>
    </row>
    <row r="97" spans="1:2" ht="12.75">
      <c r="A97" s="139" t="s">
        <v>247</v>
      </c>
      <c r="B97" s="114"/>
    </row>
    <row r="98" spans="1:2" ht="12.75">
      <c r="A98" s="139" t="s">
        <v>248</v>
      </c>
      <c r="B98" s="114">
        <v>1417908329.87</v>
      </c>
    </row>
    <row r="99" spans="1:2" ht="12.75">
      <c r="A99" s="139" t="s">
        <v>249</v>
      </c>
      <c r="B99" s="114"/>
    </row>
    <row r="100" spans="1:2" ht="12.75">
      <c r="A100" s="187" t="s">
        <v>250</v>
      </c>
      <c r="B100" s="172">
        <f>SUM(B101:B105)</f>
        <v>13007543.38</v>
      </c>
    </row>
    <row r="101" spans="1:2" ht="12.75">
      <c r="A101" s="139" t="s">
        <v>251</v>
      </c>
      <c r="B101" s="165">
        <v>3359340</v>
      </c>
    </row>
    <row r="102" spans="1:2" ht="12.75">
      <c r="A102" s="139" t="s">
        <v>252</v>
      </c>
      <c r="B102" s="165">
        <v>518114</v>
      </c>
    </row>
    <row r="103" spans="1:2" ht="12.75">
      <c r="A103" s="139" t="s">
        <v>253</v>
      </c>
      <c r="B103" s="165"/>
    </row>
    <row r="104" spans="1:2" ht="12.75">
      <c r="A104" s="139" t="s">
        <v>254</v>
      </c>
      <c r="B104" s="165">
        <v>9129080</v>
      </c>
    </row>
    <row r="105" spans="1:2" ht="12.75">
      <c r="A105" s="139" t="s">
        <v>255</v>
      </c>
      <c r="B105" s="165">
        <v>1009.38</v>
      </c>
    </row>
    <row r="106" spans="1:2" ht="12.75">
      <c r="A106" s="187" t="s">
        <v>256</v>
      </c>
      <c r="B106" s="172">
        <f>B92+B93-B100</f>
        <v>1120318940.0099995</v>
      </c>
    </row>
    <row r="107" spans="1:2" ht="12.75">
      <c r="A107" s="188" t="s">
        <v>257</v>
      </c>
      <c r="B107" s="114">
        <v>0</v>
      </c>
    </row>
    <row r="108" spans="1:2" ht="12.75">
      <c r="A108" s="188" t="s">
        <v>258</v>
      </c>
      <c r="B108" s="114"/>
    </row>
    <row r="109" spans="1:2" ht="12.75">
      <c r="A109" s="189" t="s">
        <v>259</v>
      </c>
      <c r="B109" s="193">
        <f>+B106-B108</f>
        <v>1120318940.0099995</v>
      </c>
    </row>
    <row r="110" spans="1:2" ht="12.75">
      <c r="A110" s="188" t="s">
        <v>260</v>
      </c>
      <c r="B110" s="165">
        <v>114540478.64</v>
      </c>
    </row>
    <row r="111" spans="1:4" ht="18" customHeight="1">
      <c r="A111" s="190" t="s">
        <v>261</v>
      </c>
      <c r="B111" s="194">
        <f>+B109-B110</f>
        <v>1005778461.3699995</v>
      </c>
      <c r="D111" s="146"/>
    </row>
    <row r="112" spans="1:2" ht="12.75">
      <c r="A112" s="4" t="s">
        <v>3</v>
      </c>
      <c r="B112" s="117"/>
    </row>
    <row r="113" spans="1:2" ht="12.75">
      <c r="A113" s="4" t="s">
        <v>323</v>
      </c>
      <c r="B113" s="118" t="s">
        <v>510</v>
      </c>
    </row>
    <row r="115" spans="1:2" ht="12.75">
      <c r="A115" s="4" t="s">
        <v>27</v>
      </c>
      <c r="B115" s="118" t="s">
        <v>527</v>
      </c>
    </row>
    <row r="116" ht="12.75">
      <c r="B116" s="167"/>
    </row>
  </sheetData>
  <sheetProtection/>
  <mergeCells count="1">
    <mergeCell ref="A4:B4"/>
  </mergeCells>
  <printOptions/>
  <pageMargins left="0.75" right="0.2" top="0.26" bottom="0.27" header="0.26" footer="0.28"/>
  <pageSetup fitToHeight="0" fitToWidth="1" horizontalDpi="600" verticalDpi="600" orientation="portrait" paperSize="9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SheetLayoutView="100" zoomScalePageLayoutView="0" workbookViewId="0" topLeftCell="A2">
      <selection activeCell="F22" sqref="F22"/>
    </sheetView>
  </sheetViews>
  <sheetFormatPr defaultColWidth="9.140625" defaultRowHeight="12.75"/>
  <cols>
    <col min="1" max="1" width="46.421875" style="4" bestFit="1" customWidth="1"/>
    <col min="2" max="2" width="25.00390625" style="101" customWidth="1"/>
    <col min="3" max="3" width="22.140625" style="101" customWidth="1"/>
    <col min="4" max="4" width="18.7109375" style="101" customWidth="1"/>
    <col min="5" max="5" width="17.140625" style="101" customWidth="1"/>
    <col min="6" max="6" width="20.140625" style="101" customWidth="1"/>
    <col min="7" max="7" width="23.28125" style="101" customWidth="1"/>
    <col min="8" max="8" width="17.57421875" style="4" customWidth="1"/>
    <col min="9" max="9" width="19.7109375" style="4" customWidth="1"/>
    <col min="10" max="18" width="17.57421875" style="4" customWidth="1"/>
    <col min="19" max="16384" width="9.140625" style="4" customWidth="1"/>
  </cols>
  <sheetData>
    <row r="1" spans="6:7" ht="12.75">
      <c r="F1" s="319" t="s">
        <v>321</v>
      </c>
      <c r="G1" s="320"/>
    </row>
    <row r="2" spans="6:7" ht="12.75">
      <c r="F2" s="319" t="s">
        <v>322</v>
      </c>
      <c r="G2" s="319"/>
    </row>
    <row r="3" spans="3:7" ht="12.75">
      <c r="C3" s="102" t="s">
        <v>11</v>
      </c>
      <c r="G3" s="102" t="s">
        <v>264</v>
      </c>
    </row>
    <row r="4" spans="1:7" ht="12.75">
      <c r="A4" s="125" t="s">
        <v>540</v>
      </c>
      <c r="B4" s="102"/>
      <c r="D4" s="318" t="str">
        <f>СБД!A6</f>
        <v>2023 оны 06 сарын 30 өдөр</v>
      </c>
      <c r="E4" s="318"/>
      <c r="G4" s="4"/>
    </row>
    <row r="5" spans="1:7" ht="12.75">
      <c r="A5" s="4" t="s">
        <v>26</v>
      </c>
      <c r="B5" s="102"/>
      <c r="G5" s="4"/>
    </row>
    <row r="6" ht="12.75">
      <c r="G6" s="105" t="s">
        <v>485</v>
      </c>
    </row>
    <row r="7" spans="1:7" ht="39">
      <c r="A7" s="106" t="s">
        <v>0</v>
      </c>
      <c r="B7" s="106" t="s">
        <v>12</v>
      </c>
      <c r="C7" s="106" t="s">
        <v>13</v>
      </c>
      <c r="D7" s="106" t="s">
        <v>14</v>
      </c>
      <c r="E7" s="106" t="s">
        <v>15</v>
      </c>
      <c r="F7" s="106" t="s">
        <v>16</v>
      </c>
      <c r="G7" s="106" t="s">
        <v>17</v>
      </c>
    </row>
    <row r="8" spans="1:7" ht="17.25" customHeight="1">
      <c r="A8" s="6" t="s">
        <v>528</v>
      </c>
      <c r="B8" s="123">
        <v>2800000000</v>
      </c>
      <c r="C8" s="123">
        <v>5342622574.04</v>
      </c>
      <c r="D8" s="202">
        <v>7053406086.82</v>
      </c>
      <c r="E8" s="124"/>
      <c r="F8" s="123">
        <v>7409235812.38</v>
      </c>
      <c r="G8" s="123">
        <v>22605264473.24</v>
      </c>
    </row>
    <row r="9" spans="1:7" ht="17.25" customHeight="1">
      <c r="A9" s="116" t="s">
        <v>18</v>
      </c>
      <c r="B9" s="126"/>
      <c r="C9" s="128"/>
      <c r="D9" s="127"/>
      <c r="E9" s="127"/>
      <c r="F9" s="128"/>
      <c r="G9" s="126">
        <v>0</v>
      </c>
    </row>
    <row r="10" spans="1:7" ht="17.25" customHeight="1">
      <c r="A10" s="107" t="s">
        <v>19</v>
      </c>
      <c r="B10" s="126">
        <v>2800000000</v>
      </c>
      <c r="C10" s="126">
        <v>5342622574.04</v>
      </c>
      <c r="D10" s="126">
        <v>7053406086.82</v>
      </c>
      <c r="E10" s="126">
        <v>0</v>
      </c>
      <c r="F10" s="126">
        <v>7409235812.38</v>
      </c>
      <c r="G10" s="126">
        <v>22605264473.24</v>
      </c>
    </row>
    <row r="11" spans="1:7" ht="17.25" customHeight="1">
      <c r="A11" s="116" t="s">
        <v>20</v>
      </c>
      <c r="B11" s="126"/>
      <c r="C11" s="127" t="s">
        <v>3</v>
      </c>
      <c r="D11" s="127" t="s">
        <v>3</v>
      </c>
      <c r="E11" s="127" t="s">
        <v>3</v>
      </c>
      <c r="F11" s="127" t="s">
        <v>3</v>
      </c>
      <c r="G11" s="126">
        <v>0</v>
      </c>
    </row>
    <row r="12" spans="1:7" ht="17.25" customHeight="1">
      <c r="A12" s="116" t="s">
        <v>21</v>
      </c>
      <c r="B12" s="126"/>
      <c r="C12" s="127" t="s">
        <v>3</v>
      </c>
      <c r="D12" s="110">
        <v>-10454534987.2</v>
      </c>
      <c r="E12" s="127" t="s">
        <v>3</v>
      </c>
      <c r="F12" s="127" t="s">
        <v>3</v>
      </c>
      <c r="G12" s="126">
        <v>-10454534987.2</v>
      </c>
    </row>
    <row r="13" spans="1:7" ht="17.25" customHeight="1">
      <c r="A13" s="116" t="s">
        <v>22</v>
      </c>
      <c r="B13" s="126"/>
      <c r="C13" s="127" t="s">
        <v>3</v>
      </c>
      <c r="D13" s="127" t="s">
        <v>3</v>
      </c>
      <c r="E13" s="127" t="s">
        <v>3</v>
      </c>
      <c r="F13" s="129"/>
      <c r="G13" s="126">
        <v>0</v>
      </c>
    </row>
    <row r="14" spans="1:7" ht="17.25" customHeight="1">
      <c r="A14" s="116" t="s">
        <v>23</v>
      </c>
      <c r="B14" s="126"/>
      <c r="C14" s="127"/>
      <c r="D14" s="127"/>
      <c r="E14" s="127"/>
      <c r="F14" s="110">
        <v>88868150.96</v>
      </c>
      <c r="G14" s="126">
        <v>88868150.96</v>
      </c>
    </row>
    <row r="15" spans="1:7" ht="17.25" customHeight="1">
      <c r="A15" s="116" t="s">
        <v>24</v>
      </c>
      <c r="B15" s="126"/>
      <c r="C15" s="127"/>
      <c r="D15" s="127"/>
      <c r="E15" s="127"/>
      <c r="F15" s="110">
        <v>2059224327.08</v>
      </c>
      <c r="G15" s="126">
        <v>2059224327.08</v>
      </c>
    </row>
    <row r="16" spans="1:8" ht="17.25" customHeight="1">
      <c r="A16" s="116" t="s">
        <v>4</v>
      </c>
      <c r="B16" s="128"/>
      <c r="C16" s="127"/>
      <c r="D16" s="127"/>
      <c r="E16" s="127"/>
      <c r="F16" s="110">
        <v>-1259511916.5</v>
      </c>
      <c r="G16" s="126">
        <v>-1259511916.5</v>
      </c>
      <c r="H16" s="146"/>
    </row>
    <row r="17" spans="1:8" ht="17.25" customHeight="1">
      <c r="A17" s="116" t="s">
        <v>25</v>
      </c>
      <c r="B17" s="128">
        <v>-58310</v>
      </c>
      <c r="C17" s="110">
        <v>10169859.17</v>
      </c>
      <c r="D17" s="127"/>
      <c r="E17" s="127"/>
      <c r="F17" s="110">
        <v>5000000000</v>
      </c>
      <c r="G17" s="126"/>
      <c r="H17" s="146"/>
    </row>
    <row r="18" spans="1:10" ht="17.25" customHeight="1">
      <c r="A18" s="6" t="s">
        <v>543</v>
      </c>
      <c r="B18" s="123">
        <v>2799941690</v>
      </c>
      <c r="C18" s="123">
        <v>5352792433.21</v>
      </c>
      <c r="D18" s="123">
        <v>-3401128900.380001</v>
      </c>
      <c r="E18" s="123">
        <v>0</v>
      </c>
      <c r="F18" s="123">
        <v>13297816373.92</v>
      </c>
      <c r="G18" s="123">
        <v>18049421596.75</v>
      </c>
      <c r="H18" s="146"/>
      <c r="I18" s="164"/>
      <c r="J18" s="146"/>
    </row>
    <row r="19" spans="1:10" ht="17.25" customHeight="1">
      <c r="A19" s="116" t="s">
        <v>18</v>
      </c>
      <c r="B19" s="128"/>
      <c r="C19" s="110"/>
      <c r="D19" s="110"/>
      <c r="E19" s="110"/>
      <c r="F19" s="110"/>
      <c r="G19" s="126">
        <v>0</v>
      </c>
      <c r="H19" s="146"/>
      <c r="I19" s="147"/>
      <c r="J19" s="146"/>
    </row>
    <row r="20" spans="1:8" ht="17.25" customHeight="1">
      <c r="A20" s="107" t="s">
        <v>19</v>
      </c>
      <c r="B20" s="108">
        <v>2799941690</v>
      </c>
      <c r="C20" s="108">
        <v>5352792433.21</v>
      </c>
      <c r="D20" s="108">
        <v>-3401128900.380001</v>
      </c>
      <c r="E20" s="108">
        <v>0</v>
      </c>
      <c r="F20" s="108">
        <v>13297816373.92</v>
      </c>
      <c r="G20" s="126">
        <v>18049421596.75</v>
      </c>
      <c r="H20" s="146"/>
    </row>
    <row r="21" spans="1:7" ht="17.25" customHeight="1">
      <c r="A21" s="116" t="s">
        <v>20</v>
      </c>
      <c r="B21" s="110" t="s">
        <v>3</v>
      </c>
      <c r="C21" s="110"/>
      <c r="D21" s="110">
        <v>284616053.1</v>
      </c>
      <c r="E21" s="110" t="s">
        <v>3</v>
      </c>
      <c r="F21" s="110" t="s">
        <v>3</v>
      </c>
      <c r="G21" s="126">
        <v>284616053.1</v>
      </c>
    </row>
    <row r="22" spans="1:8" ht="17.25" customHeight="1">
      <c r="A22" s="116" t="s">
        <v>21</v>
      </c>
      <c r="B22" s="110" t="s">
        <v>3</v>
      </c>
      <c r="C22" s="110" t="s">
        <v>3</v>
      </c>
      <c r="D22" s="110">
        <v>-575819001.03</v>
      </c>
      <c r="E22" s="110" t="s">
        <v>3</v>
      </c>
      <c r="F22" s="110"/>
      <c r="G22" s="126">
        <v>-575819001.03</v>
      </c>
      <c r="H22" s="146"/>
    </row>
    <row r="23" spans="1:7" ht="17.25" customHeight="1">
      <c r="A23" s="116" t="s">
        <v>22</v>
      </c>
      <c r="B23" s="110" t="s">
        <v>3</v>
      </c>
      <c r="C23" s="110" t="s">
        <v>3</v>
      </c>
      <c r="D23" s="110" t="s">
        <v>3</v>
      </c>
      <c r="E23" s="110" t="s">
        <v>3</v>
      </c>
      <c r="F23" s="110" t="s">
        <v>3</v>
      </c>
      <c r="G23" s="126">
        <v>0</v>
      </c>
    </row>
    <row r="24" spans="1:7" ht="17.25" customHeight="1">
      <c r="A24" s="116" t="s">
        <v>23</v>
      </c>
      <c r="B24" s="110" t="s">
        <v>3</v>
      </c>
      <c r="C24" s="110" t="s">
        <v>3</v>
      </c>
      <c r="D24" s="110">
        <v>825786326.43</v>
      </c>
      <c r="E24" s="110" t="s">
        <v>3</v>
      </c>
      <c r="F24" s="110">
        <v>-897511968.3599999</v>
      </c>
      <c r="G24" s="126">
        <v>-71725641.92999995</v>
      </c>
    </row>
    <row r="25" spans="1:7" ht="17.25" customHeight="1">
      <c r="A25" s="116" t="s">
        <v>24</v>
      </c>
      <c r="B25" s="110"/>
      <c r="C25" s="110"/>
      <c r="D25" s="110" t="s">
        <v>3</v>
      </c>
      <c r="E25" s="110" t="s">
        <v>3</v>
      </c>
      <c r="F25" s="110">
        <v>1005778461.3699995</v>
      </c>
      <c r="G25" s="126">
        <v>1005778461.3699995</v>
      </c>
    </row>
    <row r="26" spans="1:8" ht="17.25" customHeight="1">
      <c r="A26" s="116" t="s">
        <v>4</v>
      </c>
      <c r="B26" s="110" t="s">
        <v>3</v>
      </c>
      <c r="C26" s="110" t="s">
        <v>3</v>
      </c>
      <c r="D26" s="110" t="s">
        <v>3</v>
      </c>
      <c r="E26" s="110" t="s">
        <v>3</v>
      </c>
      <c r="F26" s="110"/>
      <c r="G26" s="126">
        <v>0</v>
      </c>
      <c r="H26" s="146"/>
    </row>
    <row r="27" spans="1:7" ht="17.25" customHeight="1">
      <c r="A27" s="116" t="s">
        <v>25</v>
      </c>
      <c r="B27" s="110">
        <v>58310</v>
      </c>
      <c r="C27" s="110">
        <v>0</v>
      </c>
      <c r="D27" s="110"/>
      <c r="E27" s="110" t="s">
        <v>3</v>
      </c>
      <c r="F27" s="110"/>
      <c r="G27" s="126">
        <v>58310</v>
      </c>
    </row>
    <row r="28" spans="1:9" ht="17.25" customHeight="1">
      <c r="A28" s="6" t="s">
        <v>592</v>
      </c>
      <c r="B28" s="120">
        <v>2800000000</v>
      </c>
      <c r="C28" s="120">
        <v>5352792433.21</v>
      </c>
      <c r="D28" s="120">
        <v>-2866545521.8800015</v>
      </c>
      <c r="E28" s="120">
        <v>0</v>
      </c>
      <c r="F28" s="120">
        <v>13406082866.929998</v>
      </c>
      <c r="G28" s="123">
        <v>18692329778.259995</v>
      </c>
      <c r="H28" s="208"/>
      <c r="I28" s="146"/>
    </row>
    <row r="29" spans="1:7" s="166" customFormat="1" ht="12.75">
      <c r="A29" s="166" t="s">
        <v>3</v>
      </c>
      <c r="B29" s="167" t="s">
        <v>3</v>
      </c>
      <c r="C29" s="207">
        <f>+СБД!C138</f>
        <v>5352792433.21</v>
      </c>
      <c r="D29" s="207">
        <f>+СБД!C140</f>
        <v>-2866545521.88</v>
      </c>
      <c r="E29" s="167"/>
      <c r="F29" s="207">
        <f>+СБД!C142+СБД!C141</f>
        <v>13406082866.93</v>
      </c>
      <c r="G29" s="207">
        <f>+СБД!C147</f>
        <v>18692329778.26</v>
      </c>
    </row>
    <row r="30" spans="2:7" ht="12.75">
      <c r="B30" s="118" t="s">
        <v>323</v>
      </c>
      <c r="C30" s="119"/>
      <c r="D30" s="119">
        <v>0</v>
      </c>
      <c r="E30" s="118" t="s">
        <v>510</v>
      </c>
      <c r="F30" s="119">
        <v>0</v>
      </c>
      <c r="G30" s="119">
        <v>0</v>
      </c>
    </row>
    <row r="31" spans="2:7" ht="12.75">
      <c r="B31" s="163"/>
      <c r="C31" s="270"/>
      <c r="D31" s="167"/>
      <c r="E31" s="270"/>
      <c r="F31" s="270"/>
      <c r="G31" s="270"/>
    </row>
    <row r="32" spans="2:7" ht="12.75">
      <c r="B32" s="118" t="s">
        <v>27</v>
      </c>
      <c r="C32" s="163"/>
      <c r="D32" s="163"/>
      <c r="E32" s="118" t="s">
        <v>527</v>
      </c>
      <c r="F32" s="163"/>
      <c r="G32" s="163"/>
    </row>
    <row r="33" spans="2:7" ht="12.75">
      <c r="B33" s="163"/>
      <c r="C33" s="163"/>
      <c r="D33" s="163"/>
      <c r="E33" s="163"/>
      <c r="F33" s="119"/>
      <c r="G33" s="163"/>
    </row>
    <row r="34" spans="2:7" ht="12.75">
      <c r="B34" s="163"/>
      <c r="C34" s="163"/>
      <c r="D34" s="163"/>
      <c r="E34" s="163"/>
      <c r="F34" s="119"/>
      <c r="G34" s="163"/>
    </row>
    <row r="35" ht="12.75">
      <c r="F35" s="119"/>
    </row>
  </sheetData>
  <sheetProtection/>
  <mergeCells count="3">
    <mergeCell ref="D4:E4"/>
    <mergeCell ref="F1:G1"/>
    <mergeCell ref="F2:G2"/>
  </mergeCells>
  <conditionalFormatting sqref="D30:D32">
    <cfRule type="cellIs" priority="1" dxfId="0" operator="lessThan" stopIfTrue="1">
      <formula>0</formula>
    </cfRule>
  </conditionalFormatting>
  <printOptions/>
  <pageMargins left="0.27" right="0.27" top="1" bottom="0.51" header="0.5" footer="0.5"/>
  <pageSetup fitToHeight="1" fitToWidth="1"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SheetLayoutView="80" workbookViewId="0" topLeftCell="A1">
      <pane xSplit="1" ySplit="6" topLeftCell="B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8" sqref="C48"/>
    </sheetView>
  </sheetViews>
  <sheetFormatPr defaultColWidth="9.140625" defaultRowHeight="12.75"/>
  <cols>
    <col min="1" max="1" width="57.57421875" style="4" customWidth="1"/>
    <col min="2" max="2" width="18.57421875" style="4" bestFit="1" customWidth="1"/>
    <col min="3" max="3" width="22.421875" style="133" customWidth="1"/>
    <col min="4" max="16384" width="9.140625" style="4" customWidth="1"/>
  </cols>
  <sheetData>
    <row r="1" spans="1:3" ht="12.75">
      <c r="A1" s="130" t="s">
        <v>10</v>
      </c>
      <c r="B1" s="130"/>
      <c r="C1" s="131"/>
    </row>
    <row r="2" spans="1:3" ht="12.75">
      <c r="A2" s="130" t="s">
        <v>157</v>
      </c>
      <c r="B2" s="130"/>
      <c r="C2" s="132"/>
    </row>
    <row r="4" ht="12.75">
      <c r="A4" s="4" t="str">
        <f>СБД!A6</f>
        <v>2023 оны 06 сарын 30 өдөр</v>
      </c>
    </row>
    <row r="5" spans="1:3" ht="16.5" customHeight="1">
      <c r="A5" s="106" t="s">
        <v>0</v>
      </c>
      <c r="B5" s="106" t="s">
        <v>525</v>
      </c>
      <c r="C5" s="134" t="s">
        <v>526</v>
      </c>
    </row>
    <row r="6" spans="1:3" s="135" customFormat="1" ht="20.25" customHeight="1">
      <c r="A6" s="143" t="s">
        <v>265</v>
      </c>
      <c r="B6" s="145">
        <v>3613420896.050003</v>
      </c>
      <c r="C6" s="145">
        <v>1737023067.7100067</v>
      </c>
    </row>
    <row r="7" spans="1:3" ht="12.75">
      <c r="A7" s="6" t="s">
        <v>266</v>
      </c>
      <c r="B7" s="9">
        <v>125775755998.41</v>
      </c>
      <c r="C7" s="9">
        <v>74823887659.75</v>
      </c>
    </row>
    <row r="8" spans="1:3" ht="12.75">
      <c r="A8" s="109" t="s">
        <v>267</v>
      </c>
      <c r="B8" s="136">
        <v>8151283889</v>
      </c>
      <c r="C8" s="300">
        <v>5163166195.69</v>
      </c>
    </row>
    <row r="9" spans="1:3" ht="12.75">
      <c r="A9" s="109" t="s">
        <v>268</v>
      </c>
      <c r="B9" s="136">
        <v>55484419.62</v>
      </c>
      <c r="C9" s="175"/>
    </row>
    <row r="10" spans="1:3" ht="12.75">
      <c r="A10" s="109" t="s">
        <v>269</v>
      </c>
      <c r="B10" s="136"/>
      <c r="C10" s="175"/>
    </row>
    <row r="11" spans="1:3" ht="12.75">
      <c r="A11" s="109" t="s">
        <v>270</v>
      </c>
      <c r="B11" s="136">
        <v>18468.64</v>
      </c>
      <c r="C11" s="175">
        <v>32456655.84</v>
      </c>
    </row>
    <row r="12" spans="1:3" ht="12.75">
      <c r="A12" s="109" t="s">
        <v>271</v>
      </c>
      <c r="B12" s="136"/>
      <c r="C12" s="175"/>
    </row>
    <row r="13" spans="1:3" ht="12.75">
      <c r="A13" s="109" t="s">
        <v>272</v>
      </c>
      <c r="B13" s="136"/>
      <c r="C13" s="175"/>
    </row>
    <row r="14" spans="1:3" ht="12.75">
      <c r="A14" s="109" t="s">
        <v>273</v>
      </c>
      <c r="B14" s="136">
        <v>15239468.92</v>
      </c>
      <c r="C14" s="175">
        <v>6562477.11</v>
      </c>
    </row>
    <row r="15" spans="1:3" ht="12.75">
      <c r="A15" s="109" t="s">
        <v>324</v>
      </c>
      <c r="B15" s="136">
        <v>1797060016.88</v>
      </c>
      <c r="C15" s="175"/>
    </row>
    <row r="16" spans="1:3" ht="12.75">
      <c r="A16" s="109" t="s">
        <v>274</v>
      </c>
      <c r="B16" s="136"/>
      <c r="C16" s="175">
        <v>-1249134.79</v>
      </c>
    </row>
    <row r="17" spans="1:3" ht="12.75">
      <c r="A17" s="109" t="s">
        <v>275</v>
      </c>
      <c r="B17" s="136"/>
      <c r="C17" s="175"/>
    </row>
    <row r="18" spans="1:3" ht="12.75">
      <c r="A18" s="109" t="s">
        <v>276</v>
      </c>
      <c r="B18" s="136">
        <v>44428923524.3</v>
      </c>
      <c r="C18" s="175">
        <v>11039224326.22</v>
      </c>
    </row>
    <row r="19" spans="1:3" ht="12.75">
      <c r="A19" s="109" t="s">
        <v>277</v>
      </c>
      <c r="B19" s="136">
        <v>850295667.78</v>
      </c>
      <c r="C19" s="175">
        <v>2152060656.85</v>
      </c>
    </row>
    <row r="20" spans="1:3" ht="12.75">
      <c r="A20" s="109" t="s">
        <v>278</v>
      </c>
      <c r="B20" s="136"/>
      <c r="C20" s="175">
        <v>3804858.06</v>
      </c>
    </row>
    <row r="21" spans="1:3" ht="15" customHeight="1">
      <c r="A21" s="109" t="s">
        <v>279</v>
      </c>
      <c r="B21" s="136">
        <v>149555164.95</v>
      </c>
      <c r="C21" s="175"/>
    </row>
    <row r="22" spans="1:3" ht="12.75">
      <c r="A22" s="109" t="s">
        <v>280</v>
      </c>
      <c r="B22" s="136"/>
      <c r="C22" s="175"/>
    </row>
    <row r="23" spans="1:3" ht="21" customHeight="1">
      <c r="A23" s="109" t="s">
        <v>281</v>
      </c>
      <c r="B23" s="136">
        <v>290534293.32</v>
      </c>
      <c r="C23" s="175">
        <v>1380750985.9299998</v>
      </c>
    </row>
    <row r="24" spans="1:3" ht="12.75">
      <c r="A24" s="109" t="s">
        <v>282</v>
      </c>
      <c r="B24" s="136"/>
      <c r="C24" s="175"/>
    </row>
    <row r="25" spans="1:3" ht="12.75">
      <c r="A25" s="109" t="s">
        <v>283</v>
      </c>
      <c r="B25" s="136">
        <v>70037361085</v>
      </c>
      <c r="C25" s="136">
        <v>55047110638.840004</v>
      </c>
    </row>
    <row r="26" spans="1:3" ht="12.75">
      <c r="A26" s="6" t="s">
        <v>284</v>
      </c>
      <c r="B26" s="7">
        <v>122162335102.36</v>
      </c>
      <c r="C26" s="7">
        <v>73086864592.04</v>
      </c>
    </row>
    <row r="27" spans="1:3" ht="12.75" customHeight="1">
      <c r="A27" s="109" t="s">
        <v>285</v>
      </c>
      <c r="B27" s="138">
        <v>217997260.27</v>
      </c>
      <c r="C27" s="299">
        <v>396789889.64</v>
      </c>
    </row>
    <row r="28" spans="1:3" ht="12.75">
      <c r="A28" s="139" t="s">
        <v>286</v>
      </c>
      <c r="B28" s="138">
        <v>290103349</v>
      </c>
      <c r="C28" s="138">
        <v>629262107</v>
      </c>
    </row>
    <row r="29" spans="1:3" ht="12.75">
      <c r="A29" s="139" t="s">
        <v>287</v>
      </c>
      <c r="B29" s="138">
        <v>465501171.65</v>
      </c>
      <c r="C29" s="176">
        <v>488657396.62</v>
      </c>
    </row>
    <row r="30" spans="1:3" ht="12.75">
      <c r="A30" s="139" t="s">
        <v>288</v>
      </c>
      <c r="B30" s="138"/>
      <c r="C30" s="176"/>
    </row>
    <row r="31" spans="1:3" ht="12.75">
      <c r="A31" s="139" t="s">
        <v>289</v>
      </c>
      <c r="B31" s="138">
        <v>759902657.74</v>
      </c>
      <c r="C31" s="176">
        <v>654011821.11</v>
      </c>
    </row>
    <row r="32" spans="1:3" ht="12.75">
      <c r="A32" s="139" t="s">
        <v>290</v>
      </c>
      <c r="B32" s="138">
        <v>2798600</v>
      </c>
      <c r="C32" s="176">
        <v>1166147</v>
      </c>
    </row>
    <row r="33" spans="1:3" ht="12.75">
      <c r="A33" s="109" t="s">
        <v>291</v>
      </c>
      <c r="B33" s="140">
        <v>236552096.45</v>
      </c>
      <c r="C33" s="177">
        <v>168064129.32</v>
      </c>
    </row>
    <row r="34" spans="1:3" ht="12.75">
      <c r="A34" s="109" t="s">
        <v>292</v>
      </c>
      <c r="B34" s="136">
        <v>28545173.46</v>
      </c>
      <c r="C34" s="175">
        <v>5935343.36</v>
      </c>
    </row>
    <row r="35" spans="1:3" ht="12.75">
      <c r="A35" s="109" t="s">
        <v>293</v>
      </c>
      <c r="B35" s="136"/>
      <c r="C35" s="178"/>
    </row>
    <row r="36" spans="1:3" ht="12.75">
      <c r="A36" s="109" t="s">
        <v>294</v>
      </c>
      <c r="B36" s="173">
        <v>37969001</v>
      </c>
      <c r="C36" s="179">
        <v>17356305.48</v>
      </c>
    </row>
    <row r="37" spans="1:3" ht="12.75">
      <c r="A37" s="109" t="s">
        <v>295</v>
      </c>
      <c r="B37" s="136">
        <v>32122370</v>
      </c>
      <c r="C37" s="177">
        <v>49473669</v>
      </c>
    </row>
    <row r="38" spans="1:3" ht="12.75">
      <c r="A38" s="109" t="s">
        <v>296</v>
      </c>
      <c r="B38" s="136">
        <v>1125260340.93</v>
      </c>
      <c r="C38" s="175">
        <v>788845144.58</v>
      </c>
    </row>
    <row r="39" spans="1:3" ht="12.75">
      <c r="A39" s="109" t="s">
        <v>297</v>
      </c>
      <c r="B39" s="136">
        <v>339662297.41</v>
      </c>
      <c r="C39" s="175">
        <v>51663130.32</v>
      </c>
    </row>
    <row r="40" spans="1:3" ht="26.25">
      <c r="A40" s="109" t="s">
        <v>298</v>
      </c>
      <c r="B40" s="136">
        <v>829110.6</v>
      </c>
      <c r="C40" s="175"/>
    </row>
    <row r="41" spans="1:3" ht="26.25">
      <c r="A41" s="109" t="s">
        <v>299</v>
      </c>
      <c r="B41" s="136">
        <v>26273009.36</v>
      </c>
      <c r="C41" s="136">
        <v>152721004</v>
      </c>
    </row>
    <row r="42" spans="1:3" ht="26.25">
      <c r="A42" s="109" t="s">
        <v>300</v>
      </c>
      <c r="B42" s="136"/>
      <c r="C42" s="136"/>
    </row>
    <row r="43" spans="1:3" ht="13.5" customHeight="1">
      <c r="A43" s="109" t="s">
        <v>301</v>
      </c>
      <c r="B43" s="136">
        <v>23449976997.66</v>
      </c>
      <c r="C43" s="136">
        <v>7100761815.950001</v>
      </c>
    </row>
    <row r="44" spans="1:3" ht="13.5" customHeight="1">
      <c r="A44" s="109" t="s">
        <v>302</v>
      </c>
      <c r="B44" s="136"/>
      <c r="C44" s="136"/>
    </row>
    <row r="45" spans="1:3" ht="13.5" customHeight="1">
      <c r="A45" s="109" t="s">
        <v>303</v>
      </c>
      <c r="B45" s="136">
        <v>706223142.08</v>
      </c>
      <c r="C45" s="136">
        <v>546602930</v>
      </c>
    </row>
    <row r="46" spans="1:3" ht="12.75">
      <c r="A46" s="109" t="s">
        <v>304</v>
      </c>
      <c r="B46" s="136">
        <v>21940000</v>
      </c>
      <c r="C46" s="136">
        <v>18860116.28</v>
      </c>
    </row>
    <row r="47" spans="1:3" ht="12.75">
      <c r="A47" s="109" t="s">
        <v>305</v>
      </c>
      <c r="B47" s="136">
        <v>904655071.97</v>
      </c>
      <c r="C47" s="136"/>
    </row>
    <row r="48" spans="1:3" ht="12.75">
      <c r="A48" s="109" t="s">
        <v>306</v>
      </c>
      <c r="B48" s="136"/>
      <c r="C48" s="136"/>
    </row>
    <row r="49" spans="1:3" ht="12.75">
      <c r="A49" s="109" t="s">
        <v>307</v>
      </c>
      <c r="B49" s="141">
        <v>93516023452.78</v>
      </c>
      <c r="C49" s="141">
        <v>62016693642.38</v>
      </c>
    </row>
    <row r="50" spans="1:3" s="135" customFormat="1" ht="20.25" customHeight="1">
      <c r="A50" s="143" t="s">
        <v>308</v>
      </c>
      <c r="B50" s="144">
        <v>93013905.24000001</v>
      </c>
      <c r="C50" s="144">
        <v>-13007543.38</v>
      </c>
    </row>
    <row r="51" spans="1:3" ht="12.75">
      <c r="A51" s="6" t="s">
        <v>309</v>
      </c>
      <c r="B51" s="10">
        <v>385046828.67</v>
      </c>
      <c r="C51" s="10">
        <v>0</v>
      </c>
    </row>
    <row r="52" spans="1:3" ht="12.75">
      <c r="A52" s="109" t="s">
        <v>310</v>
      </c>
      <c r="B52" s="136"/>
      <c r="C52" s="136"/>
    </row>
    <row r="53" spans="1:3" ht="12.75">
      <c r="A53" s="109" t="s">
        <v>311</v>
      </c>
      <c r="B53" s="136">
        <v>15164919.15</v>
      </c>
      <c r="C53" s="136"/>
    </row>
    <row r="54" spans="1:3" ht="12.75">
      <c r="A54" s="109" t="s">
        <v>312</v>
      </c>
      <c r="B54" s="136">
        <v>15971696.02</v>
      </c>
      <c r="C54" s="136"/>
    </row>
    <row r="55" spans="1:3" ht="12.75">
      <c r="A55" s="109" t="s">
        <v>313</v>
      </c>
      <c r="B55" s="136">
        <v>353910213.5</v>
      </c>
      <c r="C55" s="136"/>
    </row>
    <row r="56" spans="1:3" ht="12.75">
      <c r="A56" s="6" t="s">
        <v>314</v>
      </c>
      <c r="B56" s="7">
        <v>292032923.43</v>
      </c>
      <c r="C56" s="7">
        <v>13007543.38</v>
      </c>
    </row>
    <row r="57" spans="1:3" ht="12.75">
      <c r="A57" s="109" t="s">
        <v>315</v>
      </c>
      <c r="B57" s="136">
        <v>61286850.19</v>
      </c>
      <c r="C57" s="136">
        <v>12488420</v>
      </c>
    </row>
    <row r="58" spans="1:3" ht="12.75">
      <c r="A58" s="109" t="s">
        <v>316</v>
      </c>
      <c r="B58" s="136">
        <v>10102060</v>
      </c>
      <c r="C58" s="136">
        <v>519123.38</v>
      </c>
    </row>
    <row r="59" spans="1:3" ht="12.75">
      <c r="A59" s="109" t="s">
        <v>317</v>
      </c>
      <c r="B59" s="136">
        <v>220644013.24</v>
      </c>
      <c r="C59" s="136"/>
    </row>
    <row r="60" spans="1:3" ht="12.75">
      <c r="A60" s="107" t="s">
        <v>318</v>
      </c>
      <c r="B60" s="137">
        <v>3706434801.290003</v>
      </c>
      <c r="C60" s="137">
        <v>1724015524.3300066</v>
      </c>
    </row>
    <row r="61" spans="1:3" ht="12.75">
      <c r="A61" s="107" t="s">
        <v>319</v>
      </c>
      <c r="B61" s="142">
        <v>3249681591.5600004</v>
      </c>
      <c r="C61" s="142">
        <v>5027667551.5199995</v>
      </c>
    </row>
    <row r="62" spans="1:3" ht="13.5" customHeight="1">
      <c r="A62" s="107" t="s">
        <v>320</v>
      </c>
      <c r="B62" s="142">
        <v>6956116392.849999</v>
      </c>
      <c r="C62" s="142">
        <v>6751683075.85</v>
      </c>
    </row>
    <row r="63" spans="1:2" ht="12.75">
      <c r="A63" s="271"/>
      <c r="B63" s="271"/>
    </row>
    <row r="64" spans="1:3" ht="12.75">
      <c r="A64" s="4" t="s">
        <v>323</v>
      </c>
      <c r="C64" s="118" t="s">
        <v>510</v>
      </c>
    </row>
    <row r="65" ht="12.75">
      <c r="C65" s="270"/>
    </row>
    <row r="66" spans="1:3" ht="12.75">
      <c r="A66" s="4" t="s">
        <v>27</v>
      </c>
      <c r="C66" s="118" t="s">
        <v>527</v>
      </c>
    </row>
    <row r="70" ht="12.75">
      <c r="C70" s="301">
        <f>+C7+C51</f>
        <v>74823887659.75</v>
      </c>
    </row>
    <row r="71" ht="12.75">
      <c r="C71" s="301">
        <f>+C26+C56</f>
        <v>73099872135.42</v>
      </c>
    </row>
    <row r="72" ht="12.75">
      <c r="C72" s="301">
        <f>+C70-C71</f>
        <v>1724015524.3300018</v>
      </c>
    </row>
    <row r="73" ht="12.75">
      <c r="C73" s="301"/>
    </row>
  </sheetData>
  <sheetProtection/>
  <printOptions/>
  <pageMargins left="1" right="0.6" top="0.5" bottom="0.64" header="0.5" footer="0.5"/>
  <pageSetup fitToWidth="0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1" sqref="E71"/>
    </sheetView>
  </sheetViews>
  <sheetFormatPr defaultColWidth="9.140625" defaultRowHeight="12.75"/>
  <cols>
    <col min="1" max="1" width="72.57421875" style="266" customWidth="1"/>
    <col min="2" max="2" width="61.8515625" style="266" customWidth="1"/>
    <col min="3" max="3" width="14.28125" style="266" customWidth="1"/>
    <col min="4" max="4" width="13.140625" style="266" customWidth="1"/>
    <col min="5" max="5" width="17.28125" style="268" customWidth="1"/>
    <col min="6" max="6" width="15.7109375" style="266" customWidth="1"/>
    <col min="7" max="7" width="15.7109375" style="285" customWidth="1"/>
    <col min="8" max="8" width="15.7109375" style="266" customWidth="1"/>
    <col min="9" max="9" width="17.7109375" style="0" bestFit="1" customWidth="1"/>
    <col min="10" max="16384" width="8.8515625" style="266" customWidth="1"/>
  </cols>
  <sheetData>
    <row r="1" ht="11.25">
      <c r="C1" s="267"/>
    </row>
    <row r="2" spans="1:7" ht="11.25">
      <c r="A2" s="292"/>
      <c r="B2" s="289" t="s">
        <v>549</v>
      </c>
      <c r="C2" s="290">
        <v>2022</v>
      </c>
      <c r="D2" s="291">
        <v>2021</v>
      </c>
      <c r="E2" s="293">
        <v>45107</v>
      </c>
      <c r="F2" s="292"/>
      <c r="G2" s="294"/>
    </row>
    <row r="3" spans="2:4" ht="12.75" customHeight="1">
      <c r="B3" s="247" t="s">
        <v>550</v>
      </c>
      <c r="C3" s="249"/>
      <c r="D3" s="248"/>
    </row>
    <row r="4" spans="2:4" ht="12.75" customHeight="1">
      <c r="B4" s="247"/>
      <c r="C4" s="249"/>
      <c r="D4" s="250"/>
    </row>
    <row r="5" spans="1:8" ht="12.75" customHeight="1">
      <c r="A5" s="276"/>
      <c r="B5" s="247" t="s">
        <v>551</v>
      </c>
      <c r="C5" s="251">
        <f aca="true" t="shared" si="0" ref="C5:H5">+SUM(C7:C11)</f>
        <v>130140881</v>
      </c>
      <c r="D5" s="252">
        <f t="shared" si="0"/>
        <v>124274280</v>
      </c>
      <c r="E5" s="252">
        <f>+SUM(E7:E23)</f>
        <v>64059483503.100006</v>
      </c>
      <c r="F5" s="252">
        <f>+SUM(F7:F11)</f>
        <v>2152060656.85</v>
      </c>
      <c r="G5" s="286" t="e">
        <f t="shared" si="0"/>
        <v>#N/A</v>
      </c>
      <c r="H5" s="252">
        <f t="shared" si="0"/>
        <v>0</v>
      </c>
    </row>
    <row r="6" spans="2:4" ht="12.75" customHeight="1">
      <c r="B6" s="247"/>
      <c r="C6" s="251"/>
      <c r="D6" s="250"/>
    </row>
    <row r="7" spans="2:7" ht="12.75" customHeight="1">
      <c r="B7" s="253" t="s">
        <v>552</v>
      </c>
      <c r="C7" s="254">
        <f>+'[5]CF'!$C$7</f>
        <v>95763020</v>
      </c>
      <c r="D7" s="250">
        <v>68006439</v>
      </c>
      <c r="E7" s="269">
        <f>42897254808.16+1417908329.87</f>
        <v>44315163138.03001</v>
      </c>
      <c r="G7" s="285" t="e">
        <f>VLOOKUP(A7,МГТ!A:C,3,FALSE)</f>
        <v>#N/A</v>
      </c>
    </row>
    <row r="8" spans="1:7" ht="12.75" customHeight="1">
      <c r="A8" s="109" t="s">
        <v>276</v>
      </c>
      <c r="B8" s="253" t="s">
        <v>553</v>
      </c>
      <c r="C8" s="254">
        <f>+'[5]CF'!$C$8</f>
        <v>13683046</v>
      </c>
      <c r="D8" s="250">
        <v>44428924</v>
      </c>
      <c r="E8" s="269">
        <v>11039224326.22</v>
      </c>
      <c r="G8" s="285">
        <f>VLOOKUP(A8,МГТ!A:C,3,FALSE)</f>
        <v>11039224326.22</v>
      </c>
    </row>
    <row r="9" spans="1:7" ht="12.75" customHeight="1">
      <c r="A9" s="109" t="s">
        <v>267</v>
      </c>
      <c r="B9" s="253" t="s">
        <v>478</v>
      </c>
      <c r="C9" s="255">
        <f>+'[5]CF'!$C$9</f>
        <v>11788785</v>
      </c>
      <c r="D9" s="250">
        <v>7986407</v>
      </c>
      <c r="E9" s="269">
        <v>5163166195.69</v>
      </c>
      <c r="G9" s="285">
        <f>VLOOKUP(A9,МГТ!A:C,3,FALSE)</f>
        <v>5163166195.69</v>
      </c>
    </row>
    <row r="10" spans="1:7" ht="12.75" customHeight="1">
      <c r="A10" s="109" t="s">
        <v>281</v>
      </c>
      <c r="B10" s="253" t="s">
        <v>554</v>
      </c>
      <c r="C10" s="255">
        <f>+'[5]CF'!$C$10</f>
        <v>2763557</v>
      </c>
      <c r="D10" s="250">
        <v>2924745</v>
      </c>
      <c r="E10" s="269">
        <f>1079414412.55+301336573.38</f>
        <v>1380750985.9299998</v>
      </c>
      <c r="G10" s="285">
        <f>VLOOKUP(A10,МГТ!A:C,3,FALSE)</f>
        <v>1380750985.9299998</v>
      </c>
    </row>
    <row r="11" spans="2:7" ht="12.75" customHeight="1">
      <c r="B11" s="253" t="s">
        <v>555</v>
      </c>
      <c r="C11" s="255">
        <f>+'[5]CF'!$C$11</f>
        <v>6142473</v>
      </c>
      <c r="D11" s="250">
        <v>927765</v>
      </c>
      <c r="F11" s="275">
        <f>+МГТ!C19</f>
        <v>2152060656.85</v>
      </c>
      <c r="G11" s="285" t="e">
        <f>VLOOKUP(A11,МГТ!A:C,3,FALSE)</f>
        <v>#N/A</v>
      </c>
    </row>
    <row r="12" spans="1:7" ht="12.75" customHeight="1">
      <c r="A12" s="109" t="s">
        <v>277</v>
      </c>
      <c r="B12" s="253"/>
      <c r="C12" s="255"/>
      <c r="D12" s="250"/>
      <c r="E12" s="269">
        <v>2152060656.85</v>
      </c>
      <c r="F12" s="275"/>
      <c r="G12" s="285">
        <f>VLOOKUP(A12,МГТ!A:C,3,FALSE)</f>
        <v>2152060656.85</v>
      </c>
    </row>
    <row r="13" spans="1:7" ht="12.75" customHeight="1">
      <c r="A13" s="109" t="s">
        <v>272</v>
      </c>
      <c r="B13" s="253"/>
      <c r="C13" s="255"/>
      <c r="D13" s="250"/>
      <c r="E13" s="269"/>
      <c r="F13" s="275"/>
      <c r="G13" s="285">
        <f>VLOOKUP(A13,МГТ!A:C,3,FALSE)</f>
        <v>0</v>
      </c>
    </row>
    <row r="14" spans="1:7" ht="12.75" customHeight="1">
      <c r="A14" s="109" t="s">
        <v>273</v>
      </c>
      <c r="B14" s="253"/>
      <c r="C14" s="255"/>
      <c r="D14" s="250"/>
      <c r="E14" s="269">
        <v>6562477.11</v>
      </c>
      <c r="F14" s="275"/>
      <c r="G14" s="285">
        <f>VLOOKUP(A14,МГТ!A:C,3,FALSE)</f>
        <v>6562477.11</v>
      </c>
    </row>
    <row r="15" spans="2:7" ht="12.75" customHeight="1">
      <c r="B15" s="253"/>
      <c r="C15" s="255"/>
      <c r="D15" s="250"/>
      <c r="E15" s="269"/>
      <c r="F15" s="275"/>
      <c r="G15" s="285" t="e">
        <f>VLOOKUP(A15,МГТ!A:C,3,FALSE)</f>
        <v>#N/A</v>
      </c>
    </row>
    <row r="16" spans="1:7" ht="12.75" customHeight="1">
      <c r="A16" s="109" t="s">
        <v>274</v>
      </c>
      <c r="B16" s="253"/>
      <c r="C16" s="255"/>
      <c r="D16" s="250"/>
      <c r="E16" s="269">
        <v>-1249134.79</v>
      </c>
      <c r="F16" s="275"/>
      <c r="G16" s="285">
        <f>VLOOKUP(A16,МГТ!A:C,3,FALSE)</f>
        <v>-1249134.79</v>
      </c>
    </row>
    <row r="17" spans="1:7" ht="12.75" customHeight="1">
      <c r="A17" s="109" t="s">
        <v>275</v>
      </c>
      <c r="B17" s="253"/>
      <c r="C17" s="255"/>
      <c r="D17" s="250"/>
      <c r="E17" s="269"/>
      <c r="F17" s="275"/>
      <c r="G17" s="285">
        <f>VLOOKUP(A17,МГТ!A:C,3,FALSE)</f>
        <v>0</v>
      </c>
    </row>
    <row r="18" spans="1:7" ht="12.75" customHeight="1">
      <c r="A18" s="109" t="s">
        <v>278</v>
      </c>
      <c r="B18" s="253"/>
      <c r="C18" s="255"/>
      <c r="D18" s="250"/>
      <c r="E18" s="269">
        <v>3804858.06</v>
      </c>
      <c r="F18" s="275"/>
      <c r="G18" s="285">
        <f>VLOOKUP(A18,МГТ!A:C,3,FALSE)</f>
        <v>3804858.06</v>
      </c>
    </row>
    <row r="19" spans="1:7" ht="12.75" customHeight="1">
      <c r="A19" s="109" t="s">
        <v>279</v>
      </c>
      <c r="B19" s="253"/>
      <c r="C19" s="255"/>
      <c r="D19" s="250"/>
      <c r="E19" s="269"/>
      <c r="F19" s="275"/>
      <c r="G19" s="285">
        <f>VLOOKUP(A19,МГТ!A:C,3,FALSE)</f>
        <v>0</v>
      </c>
    </row>
    <row r="20" spans="1:7" ht="12.75" customHeight="1">
      <c r="A20" s="109" t="s">
        <v>280</v>
      </c>
      <c r="B20" s="253"/>
      <c r="C20" s="255"/>
      <c r="D20" s="250"/>
      <c r="E20" s="269"/>
      <c r="F20" s="275"/>
      <c r="G20" s="285">
        <f>VLOOKUP(A20,МГТ!A:C,3,FALSE)</f>
        <v>0</v>
      </c>
    </row>
    <row r="21" spans="1:7" ht="12.75" customHeight="1">
      <c r="A21" s="109" t="s">
        <v>282</v>
      </c>
      <c r="B21" s="253"/>
      <c r="C21" s="255"/>
      <c r="D21" s="250"/>
      <c r="E21" s="269"/>
      <c r="F21" s="275"/>
      <c r="G21" s="285">
        <f>VLOOKUP(A21,МГТ!A:C,3,FALSE)</f>
        <v>0</v>
      </c>
    </row>
    <row r="22" spans="1:9" ht="12.75" customHeight="1">
      <c r="A22" s="109" t="s">
        <v>283</v>
      </c>
      <c r="B22" s="253"/>
      <c r="C22" s="255"/>
      <c r="D22" s="250"/>
      <c r="E22" s="269"/>
      <c r="F22" s="275"/>
      <c r="G22" s="285">
        <f>VLOOKUP(A22,МГТ!A:C,3,FALSE)</f>
        <v>55047110638.840004</v>
      </c>
      <c r="H22" s="296">
        <f>+E7-G22</f>
        <v>-10731947500.809998</v>
      </c>
      <c r="I22" s="298">
        <f>+E7</f>
        <v>44315163138.03001</v>
      </c>
    </row>
    <row r="23" spans="1:7" ht="12.75" customHeight="1">
      <c r="A23" s="109" t="s">
        <v>269</v>
      </c>
      <c r="B23" s="253"/>
      <c r="C23" s="256"/>
      <c r="D23" s="250"/>
      <c r="G23" s="285">
        <f>VLOOKUP(A23,МГТ!A:C,3,FALSE)</f>
        <v>0</v>
      </c>
    </row>
    <row r="24" spans="1:8" s="284" customFormat="1" ht="12.75" customHeight="1">
      <c r="A24" s="283" t="s">
        <v>284</v>
      </c>
      <c r="B24" s="280" t="s">
        <v>556</v>
      </c>
      <c r="C24" s="281">
        <f aca="true" t="shared" si="1" ref="C24:H24">+SUM(C26:C46)</f>
        <v>-131436189.5</v>
      </c>
      <c r="D24" s="282">
        <f t="shared" si="1"/>
        <v>-129432407</v>
      </c>
      <c r="E24" s="282">
        <f>+SUM(E26:E46)</f>
        <v>-58789522944.44001</v>
      </c>
      <c r="F24" s="282">
        <f t="shared" si="1"/>
        <v>2326505496.49</v>
      </c>
      <c r="G24" s="285">
        <f>VLOOKUP(A24,МГТ!A:C,3,FALSE)</f>
        <v>73086864592.04</v>
      </c>
      <c r="H24" s="282">
        <f t="shared" si="1"/>
        <v>0</v>
      </c>
    </row>
    <row r="25" spans="2:7" ht="12.75" customHeight="1">
      <c r="B25" s="247"/>
      <c r="C25" s="255"/>
      <c r="D25" s="250"/>
      <c r="G25" s="285" t="e">
        <f>VLOOKUP(A25,МГТ!A:C,3,FALSE)</f>
        <v>#N/A</v>
      </c>
    </row>
    <row r="26" spans="2:7" ht="12.75" customHeight="1">
      <c r="B26" s="253" t="s">
        <v>557</v>
      </c>
      <c r="C26" s="255">
        <f>+'[5]CF'!$C$15</f>
        <v>-94897581</v>
      </c>
      <c r="D26" s="250">
        <v>-84990850</v>
      </c>
      <c r="E26" s="269">
        <v>-43824833621.84</v>
      </c>
      <c r="G26" s="285" t="e">
        <f>VLOOKUP(A26,МГТ!A:C,3,FALSE)</f>
        <v>#N/A</v>
      </c>
    </row>
    <row r="27" spans="1:7" ht="12.75" customHeight="1">
      <c r="A27" s="109" t="s">
        <v>301</v>
      </c>
      <c r="B27" s="253" t="s">
        <v>558</v>
      </c>
      <c r="C27" s="258">
        <f>+'[5]CF'!$C$16-0.5</f>
        <v>-15643165.5</v>
      </c>
      <c r="D27" s="250">
        <v>-36210940</v>
      </c>
      <c r="E27" s="295">
        <v>-6253015915.02</v>
      </c>
      <c r="G27" s="285">
        <f>VLOOKUP(A27,МГТ!A:C,3,FALSE)</f>
        <v>7100761815.950001</v>
      </c>
    </row>
    <row r="28" spans="2:7" ht="12.75" customHeight="1">
      <c r="B28" s="253" t="s">
        <v>559</v>
      </c>
      <c r="C28" s="258">
        <f>+'[5]CF'!$C$17</f>
        <v>-2647225</v>
      </c>
      <c r="D28" s="250">
        <v>-1671947</v>
      </c>
      <c r="E28" s="295">
        <v>-847745900.93</v>
      </c>
      <c r="G28" s="285" t="e">
        <f>VLOOKUP(A28,МГТ!A:C,3,FALSE)</f>
        <v>#N/A</v>
      </c>
    </row>
    <row r="29" spans="1:7" ht="12.75" customHeight="1">
      <c r="A29" s="139" t="s">
        <v>289</v>
      </c>
      <c r="B29" s="253" t="s">
        <v>560</v>
      </c>
      <c r="C29" s="258">
        <f>+'[5]CF'!$C$18</f>
        <v>-795651</v>
      </c>
      <c r="D29" s="250">
        <v>-759903</v>
      </c>
      <c r="E29" s="295">
        <v>-654011821.11</v>
      </c>
      <c r="G29" s="285">
        <f>VLOOKUP(A29,МГТ!A:C,3,FALSE)</f>
        <v>654011821.11</v>
      </c>
    </row>
    <row r="30" spans="1:7" ht="12.75" customHeight="1">
      <c r="A30" s="109" t="s">
        <v>303</v>
      </c>
      <c r="B30" s="253" t="s">
        <v>561</v>
      </c>
      <c r="C30" s="258">
        <f>+'[5]CF'!$C$19</f>
        <v>-14001</v>
      </c>
      <c r="D30" s="250">
        <v>-790679</v>
      </c>
      <c r="E30" s="295">
        <v>-504402930</v>
      </c>
      <c r="G30" s="285" t="e">
        <f>VLOOKUP(#REF!,МГТ!A:C,3,FALSE)</f>
        <v>#REF!</v>
      </c>
    </row>
    <row r="31" spans="2:7" ht="12.75" customHeight="1">
      <c r="B31" s="253" t="s">
        <v>562</v>
      </c>
      <c r="C31" s="258">
        <f>-ROUND('[6]МГТ'!$D$45/1000,0)</f>
        <v>-1134554</v>
      </c>
      <c r="D31" s="250">
        <v>-29125</v>
      </c>
      <c r="E31" s="295">
        <v>-42200000</v>
      </c>
      <c r="G31" s="285">
        <f>VLOOKUP(A30,МГТ!A:C,3,FALSE)</f>
        <v>546602930</v>
      </c>
    </row>
    <row r="32" spans="1:7" ht="12.75" customHeight="1">
      <c r="A32" s="109"/>
      <c r="B32" s="253"/>
      <c r="C32" s="258"/>
      <c r="D32" s="250"/>
      <c r="E32" s="269"/>
      <c r="G32" s="285" t="e">
        <f>VLOOKUP(A32,МГТ!A:C,3,FALSE)</f>
        <v>#N/A</v>
      </c>
    </row>
    <row r="33" spans="1:7" ht="12.75" customHeight="1">
      <c r="A33" s="109" t="s">
        <v>296</v>
      </c>
      <c r="B33" s="253" t="s">
        <v>563</v>
      </c>
      <c r="C33" s="258">
        <f>+'[5]CF'!$C$21</f>
        <v>-966586</v>
      </c>
      <c r="D33" s="250">
        <v>-1125260</v>
      </c>
      <c r="E33" s="295">
        <v>-788845144.58</v>
      </c>
      <c r="G33" s="285">
        <f>VLOOKUP(A33,МГТ!A:C,3,FALSE)</f>
        <v>788845144.58</v>
      </c>
    </row>
    <row r="34" spans="1:7" ht="12.75" customHeight="1">
      <c r="A34" s="139" t="s">
        <v>287</v>
      </c>
      <c r="B34" s="253" t="s">
        <v>564</v>
      </c>
      <c r="C34" s="258">
        <f>+'[5]CF'!$C$22</f>
        <v>-626720</v>
      </c>
      <c r="D34" s="250">
        <v>-465501</v>
      </c>
      <c r="E34" s="295">
        <v>-488657396.62</v>
      </c>
      <c r="G34" s="285">
        <f>VLOOKUP(A34,МГТ!A:C,3,FALSE)</f>
        <v>488657396.62</v>
      </c>
    </row>
    <row r="35" spans="1:7" ht="12.75" customHeight="1">
      <c r="A35" s="109" t="s">
        <v>304</v>
      </c>
      <c r="B35" s="253" t="s">
        <v>565</v>
      </c>
      <c r="C35" s="258">
        <f>+'[5]CF'!$C$23</f>
        <v>-28657</v>
      </c>
      <c r="D35" s="250">
        <v>-21940</v>
      </c>
      <c r="E35" s="295">
        <v>-18860116.28</v>
      </c>
      <c r="G35" s="285">
        <f>VLOOKUP(A35,МГТ!A:C,3,FALSE)</f>
        <v>18860116.28</v>
      </c>
    </row>
    <row r="36" spans="1:7" ht="12.75" customHeight="1">
      <c r="A36" s="109" t="s">
        <v>291</v>
      </c>
      <c r="B36" s="253" t="s">
        <v>566</v>
      </c>
      <c r="C36" s="258">
        <f>+'[5]CF'!$C$24</f>
        <v>-269029</v>
      </c>
      <c r="D36" s="250">
        <v>-236552</v>
      </c>
      <c r="E36" s="295">
        <v>-168064129.32</v>
      </c>
      <c r="G36" s="285">
        <f>VLOOKUP(A36,МГТ!A:C,3,FALSE)</f>
        <v>168064129.32</v>
      </c>
    </row>
    <row r="37" spans="1:7" ht="12.75" customHeight="1">
      <c r="A37" s="109" t="s">
        <v>294</v>
      </c>
      <c r="B37" s="253" t="s">
        <v>567</v>
      </c>
      <c r="C37" s="258">
        <f>+'[5]CF'!$C$25</f>
        <v>-46258</v>
      </c>
      <c r="D37" s="250">
        <v>-37969</v>
      </c>
      <c r="E37" s="295">
        <v>-17356305.48</v>
      </c>
      <c r="G37" s="285">
        <f>VLOOKUP(A37,МГТ!A:C,3,FALSE)</f>
        <v>17356305.48</v>
      </c>
    </row>
    <row r="38" spans="1:7" ht="12.75" customHeight="1">
      <c r="A38" s="109" t="s">
        <v>285</v>
      </c>
      <c r="B38" s="253" t="s">
        <v>568</v>
      </c>
      <c r="C38" s="258">
        <f>+'[5]CF'!$C$26</f>
        <v>-2052080</v>
      </c>
      <c r="D38" s="250">
        <v>-508101</v>
      </c>
      <c r="E38" s="295">
        <f>-317943889.7-78845999.94</f>
        <v>-396789889.64</v>
      </c>
      <c r="G38" s="285">
        <f>VLOOKUP(A38,МГТ!A:C,3,FALSE)</f>
        <v>396789889.64</v>
      </c>
    </row>
    <row r="39" spans="1:7" ht="12.75" customHeight="1">
      <c r="A39" s="139" t="s">
        <v>286</v>
      </c>
      <c r="B39" s="253"/>
      <c r="C39" s="258"/>
      <c r="D39" s="250"/>
      <c r="E39" s="295">
        <v>-629262107</v>
      </c>
      <c r="G39" s="285">
        <f>VLOOKUP(A39,МГТ!A:C,3,FALSE)</f>
        <v>629262107</v>
      </c>
    </row>
    <row r="40" spans="1:7" ht="12.75" customHeight="1">
      <c r="A40" s="139" t="s">
        <v>288</v>
      </c>
      <c r="B40" s="253"/>
      <c r="C40" s="258"/>
      <c r="D40" s="250"/>
      <c r="E40" s="269"/>
      <c r="G40" s="285">
        <f>VLOOKUP(A40,МГТ!A:C,3,FALSE)</f>
        <v>0</v>
      </c>
    </row>
    <row r="41" spans="1:7" ht="12.75" customHeight="1">
      <c r="A41" s="109" t="s">
        <v>295</v>
      </c>
      <c r="B41" s="253" t="s">
        <v>569</v>
      </c>
      <c r="C41" s="258">
        <f>-ROUND('[6]МГТ'!$D$37/1000,0)</f>
        <v>-25947</v>
      </c>
      <c r="D41" s="250">
        <v>-32122</v>
      </c>
      <c r="E41" s="295">
        <v>-49473669</v>
      </c>
      <c r="G41" s="285">
        <f>VLOOKUP(A41,МГТ!A:C,3,FALSE)</f>
        <v>49473669</v>
      </c>
    </row>
    <row r="42" spans="1:7" ht="12.75" customHeight="1">
      <c r="A42" s="109" t="s">
        <v>292</v>
      </c>
      <c r="B42" s="253" t="s">
        <v>570</v>
      </c>
      <c r="C42" s="258">
        <f>+'[5]CF'!$C$28</f>
        <v>-38894</v>
      </c>
      <c r="D42" s="250">
        <v>-28545</v>
      </c>
      <c r="E42" s="295">
        <v>-5935343.36</v>
      </c>
      <c r="G42" s="285">
        <f>VLOOKUP(A42,МГТ!A:C,3,FALSE)</f>
        <v>5935343.36</v>
      </c>
    </row>
    <row r="43" spans="1:7" ht="12.75" customHeight="1">
      <c r="A43" s="139" t="s">
        <v>290</v>
      </c>
      <c r="B43" s="253" t="s">
        <v>571</v>
      </c>
      <c r="C43" s="258">
        <f>+'[5]CF'!$C$29</f>
        <v>-4487</v>
      </c>
      <c r="D43" s="250">
        <v>-2799</v>
      </c>
      <c r="E43" s="295">
        <v>-1166147</v>
      </c>
      <c r="G43" s="285">
        <f>VLOOKUP(A43,МГТ!A:C,3,FALSE)</f>
        <v>1166147</v>
      </c>
    </row>
    <row r="44" spans="1:7" ht="12.75" customHeight="1">
      <c r="A44" s="109" t="s">
        <v>297</v>
      </c>
      <c r="B44" s="253" t="s">
        <v>572</v>
      </c>
      <c r="C44" s="258">
        <f>-ROUND('[6]МГТ'!$D$39/1000,0)</f>
        <v>-85517</v>
      </c>
      <c r="D44" s="250">
        <v>0</v>
      </c>
      <c r="E44" s="295">
        <f>-18785654.68-20458200-1794750-8100000-1702890-821635.64</f>
        <v>-51663130.32</v>
      </c>
      <c r="G44" s="285">
        <f>VLOOKUP(A44,МГТ!A:C,3,FALSE)</f>
        <v>51663130.32</v>
      </c>
    </row>
    <row r="45" spans="1:7" ht="14.25" customHeight="1">
      <c r="A45" s="109" t="s">
        <v>299</v>
      </c>
      <c r="B45" s="253" t="s">
        <v>573</v>
      </c>
      <c r="C45" s="258">
        <f>-ROUND('[6]МГТ'!$D$41/1000,0)</f>
        <v>-20021</v>
      </c>
      <c r="D45" s="250"/>
      <c r="E45" s="295">
        <v>-152721004</v>
      </c>
      <c r="G45" s="285">
        <f>VLOOKUP(A45,МГТ!A:C,3,FALSE)</f>
        <v>152721004</v>
      </c>
    </row>
    <row r="46" spans="2:7" ht="12.75" customHeight="1">
      <c r="B46" s="253" t="s">
        <v>574</v>
      </c>
      <c r="C46" s="255">
        <f>-ROUND('[6]МГТ'!$D$49/1000,0)-C26</f>
        <v>-12139816</v>
      </c>
      <c r="D46" s="250">
        <v>-2520174</v>
      </c>
      <c r="E46" s="269">
        <f>-2326505496.49-5658313575.49+629262107+3448031048.66+13007543.38</f>
        <v>-3894518372.9399996</v>
      </c>
      <c r="F46" s="275">
        <v>2326505496.49</v>
      </c>
      <c r="G46" s="285">
        <f>+-E46-E26</f>
        <v>47719351994.78</v>
      </c>
    </row>
    <row r="47" spans="1:7" ht="12.75" customHeight="1">
      <c r="A47" s="109" t="s">
        <v>298</v>
      </c>
      <c r="B47" s="253"/>
      <c r="C47" s="259"/>
      <c r="D47" s="250"/>
      <c r="G47" s="285">
        <f>VLOOKUP(A47,МГТ!A:C,3,FALSE)</f>
        <v>0</v>
      </c>
    </row>
    <row r="48" spans="1:7" ht="12.75" customHeight="1">
      <c r="A48" s="109" t="s">
        <v>293</v>
      </c>
      <c r="B48" s="253"/>
      <c r="C48" s="259"/>
      <c r="D48" s="250"/>
      <c r="G48" s="285">
        <f>VLOOKUP(A48,МГТ!A:C,3,FALSE)</f>
        <v>0</v>
      </c>
    </row>
    <row r="49" spans="1:7" ht="12.75" customHeight="1">
      <c r="A49" s="109" t="s">
        <v>300</v>
      </c>
      <c r="B49" s="253"/>
      <c r="C49" s="259"/>
      <c r="D49" s="250"/>
      <c r="G49" s="285">
        <f>VLOOKUP(A49,МГТ!A:C,3,FALSE)</f>
        <v>0</v>
      </c>
    </row>
    <row r="50" spans="1:7" ht="12.75" customHeight="1">
      <c r="A50" s="109" t="s">
        <v>302</v>
      </c>
      <c r="B50" s="253"/>
      <c r="C50" s="259"/>
      <c r="D50" s="250"/>
      <c r="G50" s="285">
        <f>VLOOKUP(A50,МГТ!A:C,3,FALSE)</f>
        <v>0</v>
      </c>
    </row>
    <row r="51" spans="1:7" ht="12.75" customHeight="1">
      <c r="A51" s="109" t="s">
        <v>305</v>
      </c>
      <c r="B51" s="253"/>
      <c r="C51" s="259"/>
      <c r="D51" s="250"/>
      <c r="G51" s="285">
        <f>VLOOKUP(A51,МГТ!A:C,3,FALSE)</f>
        <v>0</v>
      </c>
    </row>
    <row r="52" spans="1:7" ht="12.75" customHeight="1">
      <c r="A52" s="109" t="s">
        <v>306</v>
      </c>
      <c r="B52" s="253"/>
      <c r="C52" s="259"/>
      <c r="D52" s="250"/>
      <c r="G52" s="285">
        <f>VLOOKUP(A52,МГТ!A:C,3,FALSE)</f>
        <v>0</v>
      </c>
    </row>
    <row r="53" spans="1:7" ht="12.75" customHeight="1">
      <c r="A53" s="109" t="s">
        <v>307</v>
      </c>
      <c r="B53" s="253"/>
      <c r="C53" s="259"/>
      <c r="D53" s="250"/>
      <c r="G53" s="285">
        <f>VLOOKUP(A53,МГТ!A:C,3,FALSE)</f>
        <v>62016693642.38</v>
      </c>
    </row>
    <row r="54" spans="1:7" ht="12.75" customHeight="1">
      <c r="A54" s="109" t="s">
        <v>312</v>
      </c>
      <c r="B54" s="253"/>
      <c r="C54" s="259"/>
      <c r="D54" s="250"/>
      <c r="G54" s="285">
        <f>VLOOKUP(A54,МГТ!A:C,3,FALSE)</f>
        <v>0</v>
      </c>
    </row>
    <row r="55" spans="1:7" ht="12.75" customHeight="1">
      <c r="A55" s="109" t="s">
        <v>313</v>
      </c>
      <c r="B55" s="253"/>
      <c r="C55" s="259"/>
      <c r="D55" s="250"/>
      <c r="G55" s="285">
        <f>VLOOKUP(A55,МГТ!A:C,3,FALSE)</f>
        <v>0</v>
      </c>
    </row>
    <row r="56" spans="1:7" ht="12.75" customHeight="1">
      <c r="A56" s="279"/>
      <c r="B56" s="253"/>
      <c r="C56" s="259"/>
      <c r="D56" s="250"/>
      <c r="G56" s="285" t="e">
        <f>VLOOKUP(A56,МГТ!A:C,3,FALSE)</f>
        <v>#N/A</v>
      </c>
    </row>
    <row r="57" spans="2:8" ht="12.75" customHeight="1">
      <c r="B57" s="247" t="s">
        <v>575</v>
      </c>
      <c r="C57" s="256">
        <f>+C24+C5</f>
        <v>-1295308.5</v>
      </c>
      <c r="D57" s="252">
        <f>+D5+D24</f>
        <v>-5158127</v>
      </c>
      <c r="E57" s="252">
        <f>+E5+E24</f>
        <v>5269960558.659996</v>
      </c>
      <c r="F57" s="252">
        <f>+F5+F24</f>
        <v>4478566153.34</v>
      </c>
      <c r="G57" s="285" t="e">
        <f>VLOOKUP(A57,МГТ!A:C,3,FALSE)</f>
        <v>#N/A</v>
      </c>
      <c r="H57" s="252">
        <f>+H5+H24</f>
        <v>0</v>
      </c>
    </row>
    <row r="58" spans="2:7" ht="12.75" customHeight="1">
      <c r="B58" s="260"/>
      <c r="C58" s="256"/>
      <c r="D58" s="250"/>
      <c r="G58" s="285" t="e">
        <f>VLOOKUP(A58,МГТ!A:C,3,FALSE)</f>
        <v>#N/A</v>
      </c>
    </row>
    <row r="59" spans="2:7" ht="12.75" customHeight="1">
      <c r="B59" s="247" t="s">
        <v>576</v>
      </c>
      <c r="C59" s="256"/>
      <c r="D59" s="250"/>
      <c r="G59" s="285" t="e">
        <f>VLOOKUP(A59,МГТ!A:C,3,FALSE)</f>
        <v>#N/A</v>
      </c>
    </row>
    <row r="60" spans="2:7" ht="12.75" customHeight="1">
      <c r="B60" s="247"/>
      <c r="C60" s="256"/>
      <c r="D60" s="250"/>
      <c r="G60" s="285" t="e">
        <f>VLOOKUP(A60,МГТ!A:C,3,FALSE)</f>
        <v>#N/A</v>
      </c>
    </row>
    <row r="61" spans="1:8" ht="12.75" customHeight="1">
      <c r="A61" s="276"/>
      <c r="B61" s="247" t="s">
        <v>551</v>
      </c>
      <c r="C61" s="261">
        <f>+SUM(C63:C66)</f>
        <v>572317</v>
      </c>
      <c r="D61" s="252">
        <f>+SUM(D63:D65)</f>
        <v>15183</v>
      </c>
      <c r="E61" s="252">
        <f>+SUM(E63:E65)</f>
        <v>32456655.84</v>
      </c>
      <c r="F61" s="252">
        <f>+SUM(F63:F65)</f>
        <v>0</v>
      </c>
      <c r="G61" s="285" t="e">
        <f>VLOOKUP(A61,МГТ!A:C,3,FALSE)</f>
        <v>#N/A</v>
      </c>
      <c r="H61" s="252">
        <f>+SUM(H63:H65)</f>
        <v>0</v>
      </c>
    </row>
    <row r="62" spans="2:7" ht="12.75" customHeight="1">
      <c r="B62" s="247"/>
      <c r="C62" s="261"/>
      <c r="D62" s="250"/>
      <c r="G62" s="285" t="e">
        <f>VLOOKUP(A62,МГТ!A:C,3,FALSE)</f>
        <v>#N/A</v>
      </c>
    </row>
    <row r="63" spans="1:7" ht="12.75" customHeight="1">
      <c r="A63" s="109" t="s">
        <v>271</v>
      </c>
      <c r="B63" s="253" t="s">
        <v>577</v>
      </c>
      <c r="C63" s="261"/>
      <c r="D63" s="250">
        <v>18</v>
      </c>
      <c r="E63" s="269">
        <v>32456655.84</v>
      </c>
      <c r="G63" s="285">
        <f>VLOOKUP(A63,МГТ!A:C,3,FALSE)</f>
        <v>0</v>
      </c>
    </row>
    <row r="64" spans="1:7" ht="12.75" customHeight="1">
      <c r="A64" s="109" t="s">
        <v>270</v>
      </c>
      <c r="B64" s="253"/>
      <c r="C64" s="261"/>
      <c r="D64" s="250"/>
      <c r="E64" s="269"/>
      <c r="G64" s="285">
        <f>VLOOKUP(A64,МГТ!A:C,3,FALSE)</f>
        <v>32456655.84</v>
      </c>
    </row>
    <row r="65" spans="1:7" ht="12.75" customHeight="1">
      <c r="A65" s="109" t="s">
        <v>311</v>
      </c>
      <c r="B65" s="253" t="s">
        <v>545</v>
      </c>
      <c r="C65" s="256">
        <f>+'[5]CF'!$C$39</f>
        <v>25103</v>
      </c>
      <c r="D65" s="250">
        <v>15165</v>
      </c>
      <c r="E65" s="269"/>
      <c r="G65" s="285">
        <f>VLOOKUP(A65,МГТ!A:C,3,FALSE)</f>
        <v>0</v>
      </c>
    </row>
    <row r="66" spans="1:7" ht="12.75" customHeight="1">
      <c r="A66" s="109" t="s">
        <v>324</v>
      </c>
      <c r="B66" s="253" t="s">
        <v>452</v>
      </c>
      <c r="C66" s="256">
        <f>+'[5]CF'!$C$40</f>
        <v>547214</v>
      </c>
      <c r="D66" s="250"/>
      <c r="G66" s="285">
        <f>VLOOKUP(A66,МГТ!A:C,3,FALSE)</f>
        <v>0</v>
      </c>
    </row>
    <row r="67" spans="1:7" ht="12.75" customHeight="1">
      <c r="A67" s="109" t="s">
        <v>268</v>
      </c>
      <c r="B67" s="253"/>
      <c r="C67" s="259"/>
      <c r="D67" s="250"/>
      <c r="G67" s="285">
        <f>VLOOKUP(A67,МГТ!A:C,3,FALSE)</f>
        <v>0</v>
      </c>
    </row>
    <row r="68" spans="1:7" ht="12.75" customHeight="1">
      <c r="A68" s="109" t="s">
        <v>310</v>
      </c>
      <c r="B68" s="253"/>
      <c r="C68" s="259"/>
      <c r="D68" s="250"/>
      <c r="G68" s="285">
        <f>VLOOKUP(A68,МГТ!A:C,3,FALSE)</f>
        <v>0</v>
      </c>
    </row>
    <row r="69" spans="1:7" ht="12.75" customHeight="1">
      <c r="A69" s="279"/>
      <c r="B69" s="253"/>
      <c r="C69" s="259"/>
      <c r="D69" s="250"/>
      <c r="G69" s="285" t="e">
        <f>VLOOKUP(A69,МГТ!A:C,3,FALSE)</f>
        <v>#N/A</v>
      </c>
    </row>
    <row r="70" spans="1:8" ht="12.75" customHeight="1">
      <c r="A70" s="276"/>
      <c r="B70" s="247" t="s">
        <v>556</v>
      </c>
      <c r="C70" s="261">
        <f>+SUM(C71:C75)</f>
        <v>-44949</v>
      </c>
      <c r="D70" s="252">
        <f>+SUM(D72)</f>
        <v>-75704</v>
      </c>
      <c r="E70" s="252">
        <f>+SUM(E72:E74)</f>
        <v>-222218214.88</v>
      </c>
      <c r="F70" s="252">
        <f>+SUM(F72)</f>
        <v>0</v>
      </c>
      <c r="G70" s="285" t="e">
        <f>VLOOKUP(A70,МГТ!A:C,3,FALSE)</f>
        <v>#N/A</v>
      </c>
      <c r="H70" s="252">
        <f>+SUM(H72)</f>
        <v>0</v>
      </c>
    </row>
    <row r="71" spans="2:7" ht="12.75" customHeight="1">
      <c r="B71" s="247"/>
      <c r="C71" s="261"/>
      <c r="D71" s="250"/>
      <c r="G71" s="285" t="e">
        <f>VLOOKUP(A71,МГТ!A:C,3,FALSE)</f>
        <v>#N/A</v>
      </c>
    </row>
    <row r="72" spans="2:7" ht="12.75" customHeight="1">
      <c r="B72" s="253" t="s">
        <v>578</v>
      </c>
      <c r="C72" s="259">
        <v>0</v>
      </c>
      <c r="D72" s="250">
        <v>-75704</v>
      </c>
      <c r="E72" s="269">
        <v>-209210671.5</v>
      </c>
      <c r="G72" s="285" t="e">
        <f>VLOOKUP(A72,МГТ!A:C,3,FALSE)</f>
        <v>#N/A</v>
      </c>
    </row>
    <row r="73" spans="1:7" ht="12.75" customHeight="1">
      <c r="A73" s="109" t="s">
        <v>315</v>
      </c>
      <c r="B73" s="253" t="s">
        <v>579</v>
      </c>
      <c r="C73" s="256">
        <f>-ROUND('[6]МГТ'!$D$57/1000,0)</f>
        <v>-25262</v>
      </c>
      <c r="D73" s="250"/>
      <c r="E73" s="295">
        <f>-3359340-9129080</f>
        <v>-12488420</v>
      </c>
      <c r="G73" s="285">
        <f>VLOOKUP(A73,МГТ!A:C,3,FALSE)</f>
        <v>12488420</v>
      </c>
    </row>
    <row r="74" spans="1:7" ht="12.75" customHeight="1">
      <c r="A74" s="109" t="s">
        <v>316</v>
      </c>
      <c r="B74" s="253" t="s">
        <v>452</v>
      </c>
      <c r="C74" s="256">
        <f>-ROUND('[6]МГТ'!$D$59/1000,0)</f>
        <v>-19687</v>
      </c>
      <c r="D74" s="250"/>
      <c r="E74" s="295">
        <f>-518114-1009.38</f>
        <v>-519123.38</v>
      </c>
      <c r="G74" s="285">
        <f>VLOOKUP(A74,МГТ!A:C,3,FALSE)</f>
        <v>519123.38</v>
      </c>
    </row>
    <row r="75" spans="1:7" ht="12.75" customHeight="1">
      <c r="A75" s="109" t="s">
        <v>317</v>
      </c>
      <c r="B75" s="253"/>
      <c r="C75" s="259"/>
      <c r="D75" s="250"/>
      <c r="G75" s="285">
        <f>VLOOKUP(A75,МГТ!A:C,3,FALSE)</f>
        <v>0</v>
      </c>
    </row>
    <row r="76" spans="1:8" ht="12.75" customHeight="1">
      <c r="A76" s="143" t="s">
        <v>308</v>
      </c>
      <c r="B76" s="247" t="s">
        <v>580</v>
      </c>
      <c r="C76" s="256">
        <f aca="true" t="shared" si="2" ref="C76:H76">+C61+C70</f>
        <v>527368</v>
      </c>
      <c r="D76" s="252">
        <f t="shared" si="2"/>
        <v>-60521</v>
      </c>
      <c r="E76" s="252">
        <f>+E61+E70</f>
        <v>-189761559.04</v>
      </c>
      <c r="F76" s="252">
        <f t="shared" si="2"/>
        <v>0</v>
      </c>
      <c r="G76" s="285">
        <f>VLOOKUP(A76,МГТ!A:C,3,FALSE)</f>
        <v>-13007543.38</v>
      </c>
      <c r="H76" s="252">
        <f t="shared" si="2"/>
        <v>0</v>
      </c>
    </row>
    <row r="77" spans="1:7" ht="12.75" customHeight="1">
      <c r="A77" s="6" t="s">
        <v>309</v>
      </c>
      <c r="B77" s="247"/>
      <c r="C77" s="256"/>
      <c r="D77" s="250"/>
      <c r="G77" s="285">
        <f>VLOOKUP(A77,МГТ!A:C,3,FALSE)</f>
        <v>0</v>
      </c>
    </row>
    <row r="78" spans="2:7" ht="12.75" customHeight="1">
      <c r="B78" s="247" t="s">
        <v>581</v>
      </c>
      <c r="C78" s="256"/>
      <c r="D78" s="250"/>
      <c r="G78" s="285" t="e">
        <f>VLOOKUP(A78,МГТ!A:C,3,FALSE)</f>
        <v>#N/A</v>
      </c>
    </row>
    <row r="79" spans="2:7" ht="12.75" customHeight="1">
      <c r="B79" s="247"/>
      <c r="C79" s="256"/>
      <c r="D79" s="250"/>
      <c r="G79" s="285" t="e">
        <f>VLOOKUP(A79,МГТ!A:C,3,FALSE)</f>
        <v>#N/A</v>
      </c>
    </row>
    <row r="80" spans="2:8" ht="12.75" customHeight="1">
      <c r="B80" s="247" t="s">
        <v>551</v>
      </c>
      <c r="C80" s="261">
        <f aca="true" t="shared" si="3" ref="C80:H80">+SUM(C82:C83)</f>
        <v>14336251.5</v>
      </c>
      <c r="D80" s="252">
        <f t="shared" si="3"/>
        <v>19115413</v>
      </c>
      <c r="E80" s="252">
        <f>+SUM(E82:E83)</f>
        <v>10731947500.81</v>
      </c>
      <c r="F80" s="252">
        <f t="shared" si="3"/>
        <v>0</v>
      </c>
      <c r="G80" s="285" t="e">
        <f>VLOOKUP(A80,МГТ!A:C,3,FALSE)</f>
        <v>#N/A</v>
      </c>
      <c r="H80" s="252">
        <f t="shared" si="3"/>
        <v>0</v>
      </c>
    </row>
    <row r="81" spans="2:7" ht="12.75" customHeight="1">
      <c r="B81" s="247"/>
      <c r="C81" s="261"/>
      <c r="D81" s="252"/>
      <c r="G81" s="285" t="e">
        <f>VLOOKUP(A81,МГТ!A:C,3,FALSE)</f>
        <v>#N/A</v>
      </c>
    </row>
    <row r="82" spans="1:7" ht="12.75" customHeight="1">
      <c r="A82" s="6" t="s">
        <v>314</v>
      </c>
      <c r="B82" s="253" t="s">
        <v>582</v>
      </c>
      <c r="C82" s="262">
        <v>6886000</v>
      </c>
      <c r="D82" s="250"/>
      <c r="G82" s="285">
        <f>VLOOKUP(A82,МГТ!A:C,3,FALSE)</f>
        <v>13007543.38</v>
      </c>
    </row>
    <row r="83" spans="2:7" ht="12.75" customHeight="1">
      <c r="B83" s="253" t="s">
        <v>583</v>
      </c>
      <c r="C83" s="262">
        <f>7450251.5</f>
        <v>7450251.5</v>
      </c>
      <c r="D83" s="250">
        <v>19115413</v>
      </c>
      <c r="E83" s="269">
        <f>1944551033+4000000000+4796514668.19-9118200.38</f>
        <v>10731947500.81</v>
      </c>
      <c r="G83" s="285" t="e">
        <f>VLOOKUP(A83,МГТ!A:C,3,FALSE)</f>
        <v>#N/A</v>
      </c>
    </row>
    <row r="84" spans="2:7" ht="12.75" customHeight="1">
      <c r="B84" s="253"/>
      <c r="C84" s="261"/>
      <c r="D84" s="250"/>
      <c r="G84" s="285" t="e">
        <f>VLOOKUP(A84,МГТ!A:C,3,FALSE)</f>
        <v>#N/A</v>
      </c>
    </row>
    <row r="85" spans="2:8" ht="12.75" customHeight="1">
      <c r="B85" s="247" t="s">
        <v>556</v>
      </c>
      <c r="C85" s="257">
        <f aca="true" t="shared" si="4" ref="C85:H85">+SUM(C87:C90)</f>
        <v>-15496759.45</v>
      </c>
      <c r="D85" s="252">
        <f t="shared" si="4"/>
        <v>-10190331</v>
      </c>
      <c r="E85" s="252">
        <f>+SUM(E87:E90)</f>
        <v>-14088130976.1</v>
      </c>
      <c r="F85" s="252">
        <f t="shared" si="4"/>
        <v>3813294551</v>
      </c>
      <c r="G85" s="285" t="e">
        <f>VLOOKUP(A85,МГТ!A:C,3,FALSE)</f>
        <v>#N/A</v>
      </c>
      <c r="H85" s="252">
        <f t="shared" si="4"/>
        <v>1020000000</v>
      </c>
    </row>
    <row r="86" spans="1:7" ht="12.75" customHeight="1">
      <c r="A86" s="107" t="s">
        <v>318</v>
      </c>
      <c r="B86" s="253"/>
      <c r="C86" s="257"/>
      <c r="D86" s="250"/>
      <c r="G86" s="285">
        <f>VLOOKUP(A86,МГТ!A:C,3,FALSE)</f>
        <v>1724015524.3300066</v>
      </c>
    </row>
    <row r="87" spans="1:8" ht="12.75" customHeight="1">
      <c r="A87" s="107" t="s">
        <v>319</v>
      </c>
      <c r="B87" s="253" t="s">
        <v>584</v>
      </c>
      <c r="C87" s="263">
        <v>-13537518.95</v>
      </c>
      <c r="D87" s="250">
        <v>-5564414</v>
      </c>
      <c r="E87" s="269">
        <f>-3813294551-6890152055.16-1020000000</f>
        <v>-11723446606.16</v>
      </c>
      <c r="F87" s="274">
        <v>3813294551</v>
      </c>
      <c r="G87" s="285">
        <f>VLOOKUP(A87,МГТ!A:C,3,FALSE)</f>
        <v>5027667551.5199995</v>
      </c>
      <c r="H87" s="274">
        <v>1020000000</v>
      </c>
    </row>
    <row r="88" spans="1:7" ht="12.75" customHeight="1">
      <c r="A88" s="107" t="s">
        <v>320</v>
      </c>
      <c r="B88" s="253" t="s">
        <v>585</v>
      </c>
      <c r="C88" s="264">
        <v>-561000</v>
      </c>
      <c r="D88" s="250">
        <v>-3100000</v>
      </c>
      <c r="E88" s="269">
        <v>-2162000000</v>
      </c>
      <c r="G88" s="285">
        <f>VLOOKUP(A88,МГТ!A:C,3,FALSE)</f>
        <v>6751683075.85</v>
      </c>
    </row>
    <row r="89" spans="2:7" ht="12.75" customHeight="1">
      <c r="B89" s="253" t="s">
        <v>586</v>
      </c>
      <c r="C89" s="257">
        <f>+'[5]CF'!$C$60</f>
        <v>-1160508</v>
      </c>
      <c r="D89" s="250">
        <v>-904655</v>
      </c>
      <c r="E89" s="269"/>
      <c r="G89" s="285" t="e">
        <f>VLOOKUP(A89,МГТ!A:C,3,FALSE)</f>
        <v>#N/A</v>
      </c>
    </row>
    <row r="90" spans="2:7" ht="12.75" customHeight="1">
      <c r="B90" s="253" t="s">
        <v>587</v>
      </c>
      <c r="C90" s="257">
        <v>-237732.5</v>
      </c>
      <c r="D90" s="250">
        <v>-621262</v>
      </c>
      <c r="E90" s="269">
        <v>-202684369.94</v>
      </c>
      <c r="G90" s="285" t="e">
        <f>VLOOKUP(A90,МГТ!A:C,3,FALSE)</f>
        <v>#N/A</v>
      </c>
    </row>
    <row r="91" spans="2:7" ht="12.75" customHeight="1">
      <c r="B91" s="253"/>
      <c r="C91" s="257"/>
      <c r="D91" s="250"/>
      <c r="G91" s="285" t="e">
        <f>VLOOKUP(A91,МГТ!A:C,3,FALSE)</f>
        <v>#N/A</v>
      </c>
    </row>
    <row r="92" spans="1:8" ht="12.75" customHeight="1">
      <c r="A92" s="276"/>
      <c r="B92" s="247" t="s">
        <v>588</v>
      </c>
      <c r="C92" s="257">
        <f>+SUM(C80+C85)</f>
        <v>-1160507.9499999993</v>
      </c>
      <c r="D92" s="252">
        <f>+D80+D85</f>
        <v>8925082</v>
      </c>
      <c r="E92" s="252">
        <f>+E80+E85</f>
        <v>-3356183475.290001</v>
      </c>
      <c r="F92" s="252">
        <f>+F80+F85</f>
        <v>3813294551</v>
      </c>
      <c r="G92" s="285" t="e">
        <f>VLOOKUP(A92,МГТ!A:C,3,FALSE)</f>
        <v>#N/A</v>
      </c>
      <c r="H92" s="252">
        <f>+H80+H85</f>
        <v>1020000000</v>
      </c>
    </row>
    <row r="93" spans="1:8" ht="12.75" customHeight="1">
      <c r="A93" s="276"/>
      <c r="B93" s="253"/>
      <c r="C93" s="257"/>
      <c r="D93" s="252"/>
      <c r="E93" s="252"/>
      <c r="F93" s="252"/>
      <c r="G93" s="285" t="e">
        <f>VLOOKUP(A93,МГТ!A:C,3,FALSE)</f>
        <v>#N/A</v>
      </c>
      <c r="H93" s="252"/>
    </row>
    <row r="94" spans="1:8" ht="12.75" customHeight="1">
      <c r="A94" s="276"/>
      <c r="B94" s="247" t="s">
        <v>589</v>
      </c>
      <c r="C94" s="251">
        <f>+SUM(C57+C76+C92)</f>
        <v>-1928448.4499999993</v>
      </c>
      <c r="D94" s="252">
        <f>+D92+D76+D57</f>
        <v>3706434</v>
      </c>
      <c r="E94" s="297">
        <f>+E92+E76+E57</f>
        <v>1724015524.3299952</v>
      </c>
      <c r="F94" s="252">
        <f>+F92+F76+F57</f>
        <v>8291860704.34</v>
      </c>
      <c r="G94" s="285" t="e">
        <f>VLOOKUP(A94,МГТ!A:C,3,FALSE)</f>
        <v>#N/A</v>
      </c>
      <c r="H94" s="252">
        <f>+H92+H76+H57</f>
        <v>1020000000</v>
      </c>
    </row>
    <row r="95" spans="1:8" ht="12.75" customHeight="1">
      <c r="A95" s="277"/>
      <c r="B95" s="253"/>
      <c r="C95" s="255"/>
      <c r="D95" s="250"/>
      <c r="E95" s="250"/>
      <c r="F95" s="250"/>
      <c r="G95" s="287"/>
      <c r="H95" s="250"/>
    </row>
    <row r="96" spans="1:8" ht="12.75" customHeight="1">
      <c r="A96" s="278"/>
      <c r="B96" s="247" t="s">
        <v>590</v>
      </c>
      <c r="C96" s="257">
        <f>+D97</f>
        <v>6956116</v>
      </c>
      <c r="D96" s="265">
        <v>3249682</v>
      </c>
      <c r="E96" s="269">
        <f>+СБД!B11</f>
        <v>5027667551.5199995</v>
      </c>
      <c r="F96" s="265"/>
      <c r="G96" s="288"/>
      <c r="H96" s="265"/>
    </row>
    <row r="97" spans="1:8" ht="12.75" customHeight="1">
      <c r="A97" s="276"/>
      <c r="B97" s="247" t="s">
        <v>591</v>
      </c>
      <c r="C97" s="257">
        <f>+C94+C96</f>
        <v>5027667.550000001</v>
      </c>
      <c r="D97" s="252">
        <f>+D96+D94</f>
        <v>6956116</v>
      </c>
      <c r="E97" s="269">
        <f>+СБД!C11</f>
        <v>6751683075.85</v>
      </c>
      <c r="F97" s="252"/>
      <c r="G97" s="286"/>
      <c r="H97" s="252"/>
    </row>
    <row r="98" ht="11.25">
      <c r="E98" s="273">
        <f>+E97-E96</f>
        <v>1724015524.3300009</v>
      </c>
    </row>
    <row r="100" ht="12.75">
      <c r="E100" s="272">
        <f>+E94-E98</f>
        <v>-5.7220458984375E-06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48"/>
  <sheetViews>
    <sheetView showGridLines="0" view="pageBreakPreview" zoomScale="60" zoomScalePageLayoutView="0" workbookViewId="0" topLeftCell="A13">
      <selection activeCell="K33" sqref="K33"/>
    </sheetView>
  </sheetViews>
  <sheetFormatPr defaultColWidth="9.140625" defaultRowHeight="12.75"/>
  <cols>
    <col min="1" max="1" width="4.00390625" style="8" customWidth="1"/>
    <col min="2" max="2" width="2.7109375" style="1" customWidth="1"/>
    <col min="3" max="3" width="11.8515625" style="1" customWidth="1"/>
    <col min="4" max="4" width="7.28125" style="1" customWidth="1"/>
    <col min="5" max="5" width="6.140625" style="1" customWidth="1"/>
    <col min="6" max="6" width="14.57421875" style="1" customWidth="1"/>
    <col min="7" max="8" width="7.421875" style="1" customWidth="1"/>
    <col min="9" max="9" width="12.140625" style="1" customWidth="1"/>
    <col min="10" max="10" width="6.57421875" style="1" customWidth="1"/>
    <col min="11" max="11" width="13.8515625" style="1" customWidth="1"/>
    <col min="12" max="16384" width="9.140625" style="1" customWidth="1"/>
  </cols>
  <sheetData>
    <row r="1" spans="1:11" ht="15">
      <c r="A1" s="321" t="s">
        <v>328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5">
      <c r="A2" s="321" t="s">
        <v>329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4" spans="1:5" ht="12.75">
      <c r="A4" s="11" t="str">
        <f>'[1]cash'!A3</f>
        <v>"АРД КРЕДИТ ББСБ" ХХК</v>
      </c>
      <c r="B4" s="2"/>
      <c r="C4" s="2"/>
      <c r="D4" s="2"/>
      <c r="E4" s="2"/>
    </row>
    <row r="5" ht="12.75">
      <c r="A5" s="12" t="str">
        <f>'[1]cash'!A4</f>
        <v>(Аж ахуйн нэгж, байгууллагын нэр )</v>
      </c>
    </row>
    <row r="7" spans="1:11" ht="12.75">
      <c r="A7" s="13" t="s">
        <v>330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9" spans="1:4" ht="17.25" customHeight="1">
      <c r="A9" s="16">
        <v>1</v>
      </c>
      <c r="C9" s="17" t="s">
        <v>331</v>
      </c>
      <c r="D9" s="1" t="s">
        <v>542</v>
      </c>
    </row>
    <row r="10" spans="1:3" ht="17.25" customHeight="1">
      <c r="A10" s="18"/>
      <c r="C10" s="19"/>
    </row>
    <row r="11" spans="1:11" ht="17.25" customHeight="1">
      <c r="A11" s="16">
        <v>2</v>
      </c>
      <c r="C11" s="17" t="s">
        <v>332</v>
      </c>
      <c r="H11" s="20" t="s">
        <v>333</v>
      </c>
      <c r="I11" s="3"/>
      <c r="J11" s="20"/>
      <c r="K11" s="3"/>
    </row>
    <row r="12" spans="1:3" ht="17.25" customHeight="1">
      <c r="A12" s="18"/>
      <c r="C12" s="19"/>
    </row>
    <row r="13" spans="1:9" ht="17.25" customHeight="1">
      <c r="A13" s="16">
        <v>3</v>
      </c>
      <c r="C13" s="17" t="s">
        <v>334</v>
      </c>
      <c r="F13" s="20" t="s">
        <v>502</v>
      </c>
      <c r="I13" s="20" t="s">
        <v>335</v>
      </c>
    </row>
    <row r="14" spans="1:3" ht="17.25" customHeight="1">
      <c r="A14" s="18"/>
      <c r="C14" s="21"/>
    </row>
    <row r="15" spans="1:3" ht="17.25" customHeight="1">
      <c r="A15" s="16">
        <v>4</v>
      </c>
      <c r="C15" s="17" t="s">
        <v>486</v>
      </c>
    </row>
    <row r="16" spans="1:3" ht="17.25" customHeight="1">
      <c r="A16" s="18"/>
      <c r="C16" s="21"/>
    </row>
    <row r="17" spans="1:8" ht="17.25" customHeight="1">
      <c r="A17" s="16">
        <v>5</v>
      </c>
      <c r="C17" s="17" t="s">
        <v>511</v>
      </c>
      <c r="H17" s="22"/>
    </row>
    <row r="18" spans="1:3" ht="17.25" customHeight="1">
      <c r="A18" s="18"/>
      <c r="C18" s="19"/>
    </row>
    <row r="19" spans="1:3" ht="17.25" customHeight="1">
      <c r="A19" s="16">
        <v>6</v>
      </c>
      <c r="C19" s="17" t="s">
        <v>336</v>
      </c>
    </row>
    <row r="20" ht="12.75">
      <c r="A20" s="23"/>
    </row>
    <row r="21" spans="1:10" ht="14.25" customHeight="1">
      <c r="A21" s="23"/>
      <c r="B21" s="24" t="s">
        <v>337</v>
      </c>
      <c r="C21" s="25" t="s">
        <v>338</v>
      </c>
      <c r="D21" s="2"/>
      <c r="E21" s="2"/>
      <c r="F21" s="2"/>
      <c r="G21" s="2"/>
      <c r="H21" s="2"/>
      <c r="I21" s="2"/>
      <c r="J21" s="2"/>
    </row>
    <row r="22" spans="1:11" ht="14.25" customHeight="1">
      <c r="A22" s="23"/>
      <c r="B22" s="24" t="s">
        <v>339</v>
      </c>
      <c r="C22" s="26" t="s">
        <v>340</v>
      </c>
      <c r="D22" s="27"/>
      <c r="E22" s="27"/>
      <c r="F22" s="27"/>
      <c r="G22" s="27"/>
      <c r="H22" s="27"/>
      <c r="I22" s="27"/>
      <c r="J22" s="27"/>
      <c r="K22" s="27"/>
    </row>
    <row r="23" spans="1:11" ht="14.25" customHeight="1">
      <c r="A23" s="23"/>
      <c r="B23" s="24" t="s">
        <v>341</v>
      </c>
      <c r="C23" s="27" t="s">
        <v>342</v>
      </c>
      <c r="D23" s="27"/>
      <c r="E23" s="27"/>
      <c r="F23" s="27"/>
      <c r="G23" s="27"/>
      <c r="H23" s="27"/>
      <c r="I23" s="27"/>
      <c r="J23" s="27"/>
      <c r="K23" s="27"/>
    </row>
    <row r="24" spans="1:2" ht="12.75">
      <c r="A24" s="23"/>
      <c r="B24" s="8"/>
    </row>
    <row r="25" spans="1:3" ht="14.25" customHeight="1">
      <c r="A25" s="16">
        <v>7</v>
      </c>
      <c r="B25" s="8"/>
      <c r="C25" s="28" t="s">
        <v>343</v>
      </c>
    </row>
    <row r="26" spans="1:2" ht="12.75">
      <c r="A26" s="23"/>
      <c r="B26" s="8"/>
    </row>
    <row r="27" spans="1:11" ht="14.25" customHeight="1">
      <c r="A27" s="23"/>
      <c r="B27" s="24" t="s">
        <v>337</v>
      </c>
      <c r="C27" s="2" t="s">
        <v>503</v>
      </c>
      <c r="D27" s="2"/>
      <c r="E27" s="2"/>
      <c r="F27" s="2"/>
      <c r="H27" s="29" t="s">
        <v>344</v>
      </c>
      <c r="I27" s="2"/>
      <c r="J27" s="2"/>
      <c r="K27" s="2"/>
    </row>
    <row r="28" spans="1:11" ht="14.25" customHeight="1">
      <c r="A28" s="23"/>
      <c r="B28" s="24" t="s">
        <v>339</v>
      </c>
      <c r="C28" s="27" t="s">
        <v>504</v>
      </c>
      <c r="D28" s="27"/>
      <c r="E28" s="27"/>
      <c r="F28" s="27"/>
      <c r="H28" s="30" t="s">
        <v>345</v>
      </c>
      <c r="I28" s="27"/>
      <c r="J28" s="27"/>
      <c r="K28" s="27"/>
    </row>
    <row r="29" spans="1:10" ht="14.25" customHeight="1">
      <c r="A29" s="23"/>
      <c r="B29" s="24" t="s">
        <v>341</v>
      </c>
      <c r="C29" s="27"/>
      <c r="D29" s="27"/>
      <c r="E29" s="27"/>
      <c r="F29" s="27"/>
      <c r="G29" s="31"/>
      <c r="H29" s="31"/>
      <c r="I29" s="32"/>
      <c r="J29" s="32"/>
    </row>
    <row r="30" spans="1:2" ht="12.75">
      <c r="A30" s="23"/>
      <c r="B30" s="8"/>
    </row>
    <row r="31" spans="1:3" ht="14.25" customHeight="1">
      <c r="A31" s="16">
        <v>8</v>
      </c>
      <c r="B31" s="8"/>
      <c r="C31" s="28" t="s">
        <v>346</v>
      </c>
    </row>
    <row r="32" spans="1:2" ht="12.75">
      <c r="A32" s="23"/>
      <c r="B32" s="8"/>
    </row>
    <row r="33" spans="1:10" ht="14.25" customHeight="1">
      <c r="A33" s="23"/>
      <c r="B33" s="24" t="s">
        <v>337</v>
      </c>
      <c r="C33" s="2" t="s">
        <v>541</v>
      </c>
      <c r="D33" s="2"/>
      <c r="E33" s="2"/>
      <c r="F33" s="2"/>
      <c r="G33" s="2"/>
      <c r="H33" s="2"/>
      <c r="I33" s="2"/>
      <c r="J33" s="2"/>
    </row>
    <row r="34" spans="1:11" ht="14.25" customHeight="1">
      <c r="A34" s="23"/>
      <c r="B34" s="24" t="s">
        <v>339</v>
      </c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4.25" customHeight="1">
      <c r="A35" s="23"/>
      <c r="B35" s="24" t="s">
        <v>341</v>
      </c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4.25" customHeight="1">
      <c r="A36" s="23"/>
      <c r="B36" s="24" t="s">
        <v>344</v>
      </c>
      <c r="C36" s="27"/>
      <c r="D36" s="27"/>
      <c r="E36" s="27"/>
      <c r="F36" s="27"/>
      <c r="G36" s="27"/>
      <c r="H36" s="27"/>
      <c r="I36" s="27"/>
      <c r="J36" s="27"/>
      <c r="K36" s="27"/>
    </row>
    <row r="37" ht="12.75">
      <c r="A37" s="23"/>
    </row>
    <row r="38" spans="1:3" ht="14.25" customHeight="1">
      <c r="A38" s="16">
        <v>9</v>
      </c>
      <c r="C38" s="28" t="s">
        <v>347</v>
      </c>
    </row>
    <row r="39" ht="12.75">
      <c r="A39" s="23"/>
    </row>
    <row r="40" spans="1:10" s="35" customFormat="1" ht="16.5" customHeight="1">
      <c r="A40" s="33"/>
      <c r="B40" s="34" t="s">
        <v>348</v>
      </c>
      <c r="D40" s="322" t="s">
        <v>513</v>
      </c>
      <c r="E40" s="322"/>
      <c r="F40" s="322"/>
      <c r="H40" s="34" t="s">
        <v>349</v>
      </c>
      <c r="I40" s="323">
        <v>99995061</v>
      </c>
      <c r="J40" s="323"/>
    </row>
    <row r="41" spans="1:10" s="35" customFormat="1" ht="16.5" customHeight="1">
      <c r="A41" s="33"/>
      <c r="B41" s="34" t="s">
        <v>350</v>
      </c>
      <c r="D41" s="324" t="s">
        <v>512</v>
      </c>
      <c r="E41" s="324"/>
      <c r="F41" s="324"/>
      <c r="H41" s="34" t="s">
        <v>351</v>
      </c>
      <c r="I41" s="325"/>
      <c r="J41" s="325"/>
    </row>
    <row r="42" spans="1:6" s="35" customFormat="1" ht="16.5" customHeight="1">
      <c r="A42" s="33"/>
      <c r="B42" s="34" t="s">
        <v>352</v>
      </c>
      <c r="D42" s="326" t="s">
        <v>532</v>
      </c>
      <c r="E42" s="327"/>
      <c r="F42" s="327"/>
    </row>
    <row r="43" ht="16.5" customHeight="1">
      <c r="A43" s="23"/>
    </row>
    <row r="44" spans="1:3" ht="16.5" customHeight="1">
      <c r="A44" s="16">
        <v>10</v>
      </c>
      <c r="C44" s="28" t="s">
        <v>353</v>
      </c>
    </row>
    <row r="45" ht="16.5" customHeight="1">
      <c r="A45" s="23"/>
    </row>
    <row r="46" spans="1:10" s="35" customFormat="1" ht="16.5" customHeight="1">
      <c r="A46" s="36"/>
      <c r="B46" s="34" t="s">
        <v>348</v>
      </c>
      <c r="D46" s="322" t="s">
        <v>529</v>
      </c>
      <c r="E46" s="322"/>
      <c r="F46" s="322"/>
      <c r="H46" s="34" t="s">
        <v>349</v>
      </c>
      <c r="I46" s="323">
        <v>99089411</v>
      </c>
      <c r="J46" s="323"/>
    </row>
    <row r="47" spans="1:10" s="35" customFormat="1" ht="16.5" customHeight="1">
      <c r="A47" s="36"/>
      <c r="B47" s="34" t="s">
        <v>350</v>
      </c>
      <c r="D47" s="324" t="s">
        <v>530</v>
      </c>
      <c r="E47" s="324"/>
      <c r="F47" s="324"/>
      <c r="H47" s="34" t="s">
        <v>351</v>
      </c>
      <c r="I47" s="325"/>
      <c r="J47" s="325"/>
    </row>
    <row r="48" spans="1:6" s="35" customFormat="1" ht="16.5" customHeight="1">
      <c r="A48" s="36"/>
      <c r="B48" s="34" t="s">
        <v>352</v>
      </c>
      <c r="D48" s="326" t="s">
        <v>531</v>
      </c>
      <c r="E48" s="327"/>
      <c r="F48" s="327"/>
    </row>
  </sheetData>
  <sheetProtection/>
  <mergeCells count="12">
    <mergeCell ref="D42:F42"/>
    <mergeCell ref="D46:F46"/>
    <mergeCell ref="I46:J46"/>
    <mergeCell ref="D47:F47"/>
    <mergeCell ref="I47:J47"/>
    <mergeCell ref="D48:F48"/>
    <mergeCell ref="A1:K1"/>
    <mergeCell ref="A2:K2"/>
    <mergeCell ref="D40:F40"/>
    <mergeCell ref="I40:J40"/>
    <mergeCell ref="D41:F41"/>
    <mergeCell ref="I41:J41"/>
  </mergeCells>
  <hyperlinks>
    <hyperlink ref="D48" r:id="rId1" display="tserennadmid.h@ardcredit.com"/>
    <hyperlink ref="D42" r:id="rId2" display="telmen.g@ardcredit.com"/>
  </hyperlinks>
  <printOptions horizontalCentered="1"/>
  <pageMargins left="0.35" right="0.5" top="0.6" bottom="0.6" header="0.4" footer="0.3"/>
  <pageSetup fitToHeight="1" fitToWidth="1" horizontalDpi="600" verticalDpi="600" orientation="portrait" paperSize="9" r:id="rId3"/>
  <headerFooter alignWithMargins="0">
    <oddFooter>&amp;L8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2:K35"/>
  <sheetViews>
    <sheetView showGridLines="0" view="pageBreakPreview" zoomScale="60" zoomScaleNormal="90" zoomScalePageLayoutView="0" workbookViewId="0" topLeftCell="A1">
      <selection activeCell="G8" sqref="G8"/>
    </sheetView>
  </sheetViews>
  <sheetFormatPr defaultColWidth="9.140625" defaultRowHeight="12.75"/>
  <cols>
    <col min="1" max="1" width="3.57421875" style="1" customWidth="1"/>
    <col min="2" max="2" width="2.7109375" style="1" customWidth="1"/>
    <col min="3" max="3" width="10.28125" style="1" customWidth="1"/>
    <col min="4" max="4" width="6.421875" style="1" customWidth="1"/>
    <col min="5" max="5" width="5.57421875" style="1" customWidth="1"/>
    <col min="6" max="6" width="9.140625" style="1" customWidth="1"/>
    <col min="7" max="8" width="7.421875" style="1" customWidth="1"/>
    <col min="9" max="9" width="12.140625" style="1" customWidth="1"/>
    <col min="10" max="10" width="6.57421875" style="1" customWidth="1"/>
    <col min="11" max="16384" width="9.140625" style="1" customWidth="1"/>
  </cols>
  <sheetData>
    <row r="2" spans="1:11" ht="15">
      <c r="A2" s="330" t="s">
        <v>354</v>
      </c>
      <c r="B2" s="330"/>
      <c r="C2" s="330"/>
      <c r="D2" s="330"/>
      <c r="E2" s="37"/>
      <c r="F2" s="37"/>
      <c r="G2" s="37"/>
      <c r="H2" s="37"/>
      <c r="I2" s="37"/>
      <c r="J2" s="37"/>
      <c r="K2" s="38"/>
    </row>
    <row r="3" spans="1:11" ht="16.5" customHeight="1" thickBot="1">
      <c r="A3" s="39"/>
      <c r="B3" s="40" t="s">
        <v>523</v>
      </c>
      <c r="C3" s="40"/>
      <c r="D3" s="40"/>
      <c r="E3" s="40"/>
      <c r="F3" s="39"/>
      <c r="G3" s="39"/>
      <c r="H3" s="39"/>
      <c r="I3" s="39"/>
      <c r="J3" s="39"/>
      <c r="K3" s="39"/>
    </row>
    <row r="4" spans="1:11" ht="16.5" customHeight="1" thickBot="1">
      <c r="A4" s="41"/>
      <c r="B4" s="42" t="s">
        <v>355</v>
      </c>
      <c r="C4" s="42"/>
      <c r="D4" s="42"/>
      <c r="E4" s="42"/>
      <c r="F4" s="42"/>
      <c r="G4" s="43"/>
      <c r="H4" s="43"/>
      <c r="I4" s="43"/>
      <c r="J4" s="43"/>
      <c r="K4" s="43"/>
    </row>
    <row r="5" spans="1:11" ht="16.5" customHeight="1" thickBot="1">
      <c r="A5" s="44"/>
      <c r="B5" s="42" t="s">
        <v>356</v>
      </c>
      <c r="C5" s="42"/>
      <c r="D5" s="42"/>
      <c r="E5" s="42"/>
      <c r="F5" s="42"/>
      <c r="G5" s="44"/>
      <c r="H5" s="44"/>
      <c r="I5" s="44"/>
      <c r="J5" s="45"/>
      <c r="K5" s="44"/>
    </row>
    <row r="6" spans="1:11" ht="16.5" customHeight="1" thickBot="1">
      <c r="A6" s="46"/>
      <c r="B6" s="42" t="s">
        <v>357</v>
      </c>
      <c r="C6" s="42"/>
      <c r="D6" s="42"/>
      <c r="E6" s="42"/>
      <c r="F6" s="46"/>
      <c r="G6" s="44"/>
      <c r="H6" s="44"/>
      <c r="I6" s="46"/>
      <c r="J6" s="44"/>
      <c r="K6" s="44"/>
    </row>
    <row r="7" spans="1:11" ht="16.5" customHeight="1" thickBot="1">
      <c r="A7" s="44"/>
      <c r="B7" s="42"/>
      <c r="C7" s="42"/>
      <c r="D7" s="42"/>
      <c r="E7" s="42"/>
      <c r="F7" s="42"/>
      <c r="G7" s="44"/>
      <c r="H7" s="44"/>
      <c r="I7" s="44"/>
      <c r="J7" s="44"/>
      <c r="K7" s="44"/>
    </row>
    <row r="8" spans="1:11" ht="16.5" customHeight="1" thickBot="1">
      <c r="A8" s="46"/>
      <c r="B8" s="42"/>
      <c r="C8" s="42"/>
      <c r="D8" s="44"/>
      <c r="E8" s="44"/>
      <c r="F8" s="44"/>
      <c r="G8" s="44"/>
      <c r="H8" s="44"/>
      <c r="I8" s="44"/>
      <c r="J8" s="44"/>
      <c r="K8" s="44"/>
    </row>
    <row r="9" spans="1:11" ht="16.5" customHeight="1" thickBo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16.5" customHeight="1" thickBot="1">
      <c r="A10" s="44"/>
      <c r="B10" s="47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6.5" customHeight="1" thickBot="1">
      <c r="A11" s="44"/>
      <c r="B11" s="47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6.5" customHeight="1" thickBot="1">
      <c r="A12" s="44"/>
      <c r="B12" s="47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6.5" customHeight="1" thickBo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6.5" customHeight="1" thickBot="1">
      <c r="A14" s="46"/>
      <c r="B14" s="44"/>
      <c r="C14" s="46"/>
      <c r="D14" s="44"/>
      <c r="E14" s="44"/>
      <c r="F14" s="44"/>
      <c r="G14" s="44"/>
      <c r="H14" s="44"/>
      <c r="I14" s="44"/>
      <c r="J14" s="44"/>
      <c r="K14" s="44"/>
    </row>
    <row r="15" spans="1:11" ht="16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6.5" customHeight="1" thickBot="1">
      <c r="A16" s="44"/>
      <c r="B16" s="47"/>
      <c r="C16" s="44"/>
      <c r="D16" s="44"/>
      <c r="E16" s="44"/>
      <c r="F16" s="44"/>
      <c r="G16" s="44"/>
      <c r="H16" s="47"/>
      <c r="I16" s="44"/>
      <c r="J16" s="44"/>
      <c r="K16" s="44"/>
    </row>
    <row r="17" spans="1:11" ht="16.5" customHeight="1" thickBot="1">
      <c r="A17" s="44"/>
      <c r="B17" s="47"/>
      <c r="C17" s="44"/>
      <c r="D17" s="44"/>
      <c r="E17" s="44"/>
      <c r="F17" s="44"/>
      <c r="G17" s="44"/>
      <c r="H17" s="47"/>
      <c r="I17" s="44"/>
      <c r="J17" s="44"/>
      <c r="K17" s="44"/>
    </row>
    <row r="18" spans="1:11" ht="16.5" customHeight="1" thickBot="1">
      <c r="A18" s="46"/>
      <c r="B18" s="44"/>
      <c r="C18" s="46"/>
      <c r="D18" s="44"/>
      <c r="E18" s="44"/>
      <c r="F18" s="44"/>
      <c r="G18" s="44"/>
      <c r="H18" s="44"/>
      <c r="I18" s="44"/>
      <c r="J18" s="44"/>
      <c r="K18" s="44"/>
    </row>
    <row r="19" spans="1:11" ht="16.5" customHeight="1" thickBo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s="35" customFormat="1" ht="16.5" customHeight="1" thickBot="1">
      <c r="A20" s="44">
        <v>2.1</v>
      </c>
      <c r="B20" s="46" t="s">
        <v>358</v>
      </c>
      <c r="C20" s="44"/>
      <c r="D20" s="42"/>
      <c r="E20" s="42"/>
      <c r="F20" s="42"/>
      <c r="G20" s="44"/>
      <c r="H20" s="46"/>
      <c r="I20" s="42"/>
      <c r="J20" s="42"/>
      <c r="K20" s="44"/>
    </row>
    <row r="21" spans="1:11" s="35" customFormat="1" ht="16.5" customHeight="1" thickBot="1">
      <c r="A21" s="44"/>
      <c r="B21" s="46"/>
      <c r="C21" s="44"/>
      <c r="D21" s="42"/>
      <c r="E21" s="42"/>
      <c r="F21" s="42"/>
      <c r="G21" s="45" t="s">
        <v>505</v>
      </c>
      <c r="H21" s="46"/>
      <c r="I21" s="331"/>
      <c r="J21" s="331"/>
      <c r="K21" s="44"/>
    </row>
    <row r="22" spans="1:11" s="35" customFormat="1" ht="16.5" customHeight="1" thickBot="1">
      <c r="A22" s="44"/>
      <c r="B22" s="46"/>
      <c r="C22" s="44"/>
      <c r="D22" s="328"/>
      <c r="E22" s="328"/>
      <c r="F22" s="328"/>
      <c r="G22" s="44"/>
      <c r="H22" s="44"/>
      <c r="I22" s="44"/>
      <c r="J22" s="44"/>
      <c r="K22" s="44"/>
    </row>
    <row r="23" spans="1:11" ht="16.5" customHeight="1" thickBot="1">
      <c r="A23" s="44" t="s">
        <v>359</v>
      </c>
      <c r="B23" s="44"/>
      <c r="C23" s="44"/>
      <c r="D23" s="44"/>
      <c r="E23" s="44"/>
      <c r="F23" s="44" t="s">
        <v>514</v>
      </c>
      <c r="G23" s="44"/>
      <c r="H23" s="44"/>
      <c r="I23" s="44"/>
      <c r="J23" s="44"/>
      <c r="K23" s="44"/>
    </row>
    <row r="24" spans="1:11" ht="16.5" customHeight="1" thickBot="1">
      <c r="A24" s="46"/>
      <c r="B24" s="44"/>
      <c r="C24" s="46"/>
      <c r="D24" s="44"/>
      <c r="E24" s="44"/>
      <c r="F24" s="44"/>
      <c r="G24" s="44"/>
      <c r="H24" s="44"/>
      <c r="I24" s="44"/>
      <c r="J24" s="44"/>
      <c r="K24" s="44"/>
    </row>
    <row r="25" spans="1:11" ht="16.5" customHeight="1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s="35" customFormat="1" ht="16.5" customHeight="1" thickBot="1">
      <c r="A26" s="44" t="s">
        <v>360</v>
      </c>
      <c r="B26" s="46"/>
      <c r="C26" s="44"/>
      <c r="D26" s="332"/>
      <c r="E26" s="332"/>
      <c r="F26" s="332"/>
      <c r="G26" s="44"/>
      <c r="H26" s="46"/>
      <c r="I26" s="331"/>
      <c r="J26" s="331"/>
      <c r="K26" s="44"/>
    </row>
    <row r="27" spans="1:11" s="35" customFormat="1" ht="16.5" customHeight="1" thickBot="1">
      <c r="A27" s="333" t="s">
        <v>524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</row>
    <row r="28" spans="1:11" s="35" customFormat="1" ht="16.5" customHeight="1" thickBot="1">
      <c r="A28" s="44"/>
      <c r="B28" s="46"/>
      <c r="C28" s="44"/>
      <c r="D28" s="328"/>
      <c r="E28" s="328"/>
      <c r="F28" s="328"/>
      <c r="G28" s="44"/>
      <c r="H28" s="44"/>
      <c r="I28" s="44"/>
      <c r="J28" s="44"/>
      <c r="K28" s="44"/>
    </row>
    <row r="29" spans="1:11" ht="16.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6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7.25" customHeight="1">
      <c r="A31" s="48">
        <v>1</v>
      </c>
      <c r="B31" s="329" t="s">
        <v>361</v>
      </c>
      <c r="C31" s="329"/>
      <c r="D31" s="329"/>
      <c r="E31" s="329"/>
      <c r="F31" s="329"/>
      <c r="G31" s="329"/>
      <c r="H31" s="329"/>
      <c r="I31" s="329"/>
      <c r="J31" s="329"/>
      <c r="K31" s="329"/>
    </row>
    <row r="32" spans="1:11" ht="13.5">
      <c r="A32" s="39"/>
      <c r="B32" s="329"/>
      <c r="C32" s="329"/>
      <c r="D32" s="329"/>
      <c r="E32" s="329"/>
      <c r="F32" s="329"/>
      <c r="G32" s="329"/>
      <c r="H32" s="329"/>
      <c r="I32" s="329"/>
      <c r="J32" s="329"/>
      <c r="K32" s="329"/>
    </row>
    <row r="33" spans="1:11" ht="13.5">
      <c r="A33" s="39"/>
      <c r="B33" s="329"/>
      <c r="C33" s="329"/>
      <c r="D33" s="329"/>
      <c r="E33" s="329"/>
      <c r="F33" s="329"/>
      <c r="G33" s="329"/>
      <c r="H33" s="329"/>
      <c r="I33" s="329"/>
      <c r="J33" s="329"/>
      <c r="K33" s="329"/>
    </row>
    <row r="34" spans="1:11" ht="14.25">
      <c r="A34" s="49"/>
      <c r="B34"/>
      <c r="C34"/>
      <c r="D34"/>
      <c r="E34"/>
      <c r="F34"/>
      <c r="G34"/>
      <c r="H34"/>
      <c r="I34"/>
      <c r="J34"/>
      <c r="K34"/>
    </row>
    <row r="35" spans="1:11" ht="14.25">
      <c r="A35" s="49"/>
      <c r="B35"/>
      <c r="C35"/>
      <c r="D35"/>
      <c r="E35"/>
      <c r="F35"/>
      <c r="G35"/>
      <c r="H35"/>
      <c r="I35"/>
      <c r="J35"/>
      <c r="K35"/>
    </row>
  </sheetData>
  <sheetProtection/>
  <mergeCells count="8">
    <mergeCell ref="D28:F28"/>
    <mergeCell ref="B31:K33"/>
    <mergeCell ref="A2:D2"/>
    <mergeCell ref="I21:J21"/>
    <mergeCell ref="D22:F22"/>
    <mergeCell ref="D26:F26"/>
    <mergeCell ref="I26:J26"/>
    <mergeCell ref="A27:K27"/>
  </mergeCells>
  <printOptions horizontalCentered="1" verticalCentered="1"/>
  <pageMargins left="0.5" right="0.35" top="0.6" bottom="0.6" header="0.4" footer="0.3"/>
  <pageSetup horizontalDpi="600" verticalDpi="600" orientation="portrait" paperSize="9" r:id="rId1"/>
  <headerFooter alignWithMargins="0">
    <oddFooter>&amp;R9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J62"/>
  <sheetViews>
    <sheetView showGridLines="0" view="pageBreakPreview" zoomScaleSheetLayoutView="100" zoomScalePageLayoutView="0" workbookViewId="0" topLeftCell="A55">
      <selection activeCell="J50" sqref="J50"/>
    </sheetView>
  </sheetViews>
  <sheetFormatPr defaultColWidth="9.8515625" defaultRowHeight="14.25" customHeight="1"/>
  <cols>
    <col min="1" max="1" width="5.00390625" style="1" customWidth="1"/>
    <col min="2" max="3" width="9.8515625" style="1" customWidth="1"/>
    <col min="4" max="4" width="13.140625" style="1" bestFit="1" customWidth="1"/>
    <col min="5" max="5" width="14.7109375" style="22" customWidth="1"/>
    <col min="6" max="6" width="17.28125" style="22" bestFit="1" customWidth="1"/>
    <col min="7" max="7" width="14.7109375" style="22" customWidth="1"/>
    <col min="8" max="8" width="17.28125" style="22" customWidth="1"/>
    <col min="9" max="9" width="14.00390625" style="1" bestFit="1" customWidth="1"/>
    <col min="10" max="10" width="14.7109375" style="1" bestFit="1" customWidth="1"/>
    <col min="11" max="16384" width="9.8515625" style="1" customWidth="1"/>
  </cols>
  <sheetData>
    <row r="2" spans="1:2" ht="14.25" customHeight="1">
      <c r="A2" s="1">
        <v>3.1</v>
      </c>
      <c r="B2" s="1" t="s">
        <v>362</v>
      </c>
    </row>
    <row r="4" spans="1:8" ht="14.25" customHeight="1">
      <c r="A4" s="50"/>
      <c r="B4" s="336" t="s">
        <v>363</v>
      </c>
      <c r="C4" s="336"/>
      <c r="D4" s="51"/>
      <c r="E4" s="337" t="s">
        <v>1</v>
      </c>
      <c r="F4" s="337"/>
      <c r="G4" s="337" t="s">
        <v>2</v>
      </c>
      <c r="H4" s="337"/>
    </row>
    <row r="5" spans="1:8" ht="14.25" customHeight="1">
      <c r="A5" s="50"/>
      <c r="B5" s="334"/>
      <c r="C5" s="335"/>
      <c r="D5" s="53"/>
      <c r="E5" s="54" t="s">
        <v>364</v>
      </c>
      <c r="F5" s="54" t="s">
        <v>365</v>
      </c>
      <c r="G5" s="205" t="s">
        <v>364</v>
      </c>
      <c r="H5" s="54" t="s">
        <v>365</v>
      </c>
    </row>
    <row r="6" spans="1:8" ht="14.25" customHeight="1">
      <c r="A6" s="50">
        <v>1</v>
      </c>
      <c r="B6" s="334" t="s">
        <v>366</v>
      </c>
      <c r="C6" s="335"/>
      <c r="D6" s="53"/>
      <c r="E6" s="54"/>
      <c r="F6" s="203">
        <f>+СБД!B12</f>
        <v>48932551.75</v>
      </c>
      <c r="G6" s="206">
        <v>48362184</v>
      </c>
      <c r="H6" s="204">
        <v>570367.55</v>
      </c>
    </row>
    <row r="7" ht="14.25" customHeight="1">
      <c r="H7" s="22">
        <f>+H6+G6</f>
        <v>48932551.55</v>
      </c>
    </row>
    <row r="8" spans="1:2" ht="14.25" customHeight="1">
      <c r="A8" s="1">
        <v>3.2</v>
      </c>
      <c r="B8" s="1" t="s">
        <v>367</v>
      </c>
    </row>
    <row r="9" ht="13.5" customHeight="1"/>
    <row r="10" spans="1:8" ht="14.25" customHeight="1">
      <c r="A10" s="338"/>
      <c r="B10" s="340" t="s">
        <v>368</v>
      </c>
      <c r="C10" s="341"/>
      <c r="D10" s="338" t="s">
        <v>369</v>
      </c>
      <c r="E10" s="344" t="s">
        <v>1</v>
      </c>
      <c r="F10" s="345"/>
      <c r="G10" s="337" t="s">
        <v>2</v>
      </c>
      <c r="H10" s="337"/>
    </row>
    <row r="11" spans="1:8" ht="14.25" customHeight="1">
      <c r="A11" s="339"/>
      <c r="B11" s="342"/>
      <c r="C11" s="343"/>
      <c r="D11" s="339"/>
      <c r="E11" s="54" t="s">
        <v>364</v>
      </c>
      <c r="F11" s="54" t="s">
        <v>365</v>
      </c>
      <c r="G11" s="54" t="s">
        <v>370</v>
      </c>
      <c r="H11" s="54" t="s">
        <v>365</v>
      </c>
    </row>
    <row r="12" spans="1:8" ht="14.25" customHeight="1">
      <c r="A12" s="50">
        <v>1</v>
      </c>
      <c r="B12" s="334" t="s">
        <v>371</v>
      </c>
      <c r="C12" s="335"/>
      <c r="D12" s="53"/>
      <c r="E12" s="54">
        <v>58770.78</v>
      </c>
      <c r="F12" s="54">
        <v>219657113.18</v>
      </c>
      <c r="G12" s="206">
        <v>1070719.53</v>
      </c>
      <c r="H12" s="206">
        <v>39726060.97</v>
      </c>
    </row>
    <row r="13" spans="1:8" ht="14.25" customHeight="1">
      <c r="A13" s="50">
        <v>2</v>
      </c>
      <c r="B13" s="334" t="s">
        <v>508</v>
      </c>
      <c r="C13" s="335"/>
      <c r="D13" s="53"/>
      <c r="E13" s="54"/>
      <c r="F13" s="54">
        <v>1532103620.6</v>
      </c>
      <c r="G13" s="54"/>
      <c r="H13" s="206">
        <v>878699708.8</v>
      </c>
    </row>
    <row r="14" spans="1:8" ht="14.25" customHeight="1">
      <c r="A14" s="50">
        <v>3</v>
      </c>
      <c r="B14" s="334" t="s">
        <v>373</v>
      </c>
      <c r="C14" s="335"/>
      <c r="D14" s="53"/>
      <c r="E14" s="54"/>
      <c r="F14" s="54"/>
      <c r="G14" s="54">
        <f>+'[2]GL'!$G$9</f>
        <v>242522.51</v>
      </c>
      <c r="H14" s="54">
        <f>+'[2]GL'!$G$8</f>
        <v>504178.71</v>
      </c>
    </row>
    <row r="15" spans="1:8" ht="14.25" customHeight="1">
      <c r="A15" s="50">
        <v>4</v>
      </c>
      <c r="B15" s="334" t="s">
        <v>374</v>
      </c>
      <c r="C15" s="335"/>
      <c r="D15" s="53"/>
      <c r="E15" s="54"/>
      <c r="F15" s="54">
        <v>10912056.95</v>
      </c>
      <c r="G15" s="171"/>
      <c r="H15" s="54">
        <f>+'[2]GL'!$G$17</f>
        <v>512413.06</v>
      </c>
    </row>
    <row r="16" spans="1:8" ht="14.25" customHeight="1">
      <c r="A16" s="50">
        <v>5</v>
      </c>
      <c r="B16" s="334" t="s">
        <v>375</v>
      </c>
      <c r="C16" s="335"/>
      <c r="D16" s="53"/>
      <c r="E16" s="54">
        <v>548289466.8</v>
      </c>
      <c r="F16" s="54">
        <v>458776234.09</v>
      </c>
      <c r="G16" s="171">
        <f>+'[2]GL'!$G$15+'[2]GL'!$G$16</f>
        <v>205017160.48</v>
      </c>
      <c r="H16" s="54">
        <f>+'[2]GL'!$G$14</f>
        <v>10838014.95</v>
      </c>
    </row>
    <row r="17" spans="1:8" ht="14.25" customHeight="1">
      <c r="A17" s="50">
        <v>6</v>
      </c>
      <c r="B17" s="334" t="s">
        <v>515</v>
      </c>
      <c r="C17" s="335"/>
      <c r="D17" s="53"/>
      <c r="E17" s="54">
        <v>977793.62</v>
      </c>
      <c r="F17" s="54"/>
      <c r="G17" s="171">
        <f>+'[2]GL'!$G$20</f>
        <v>802736.47</v>
      </c>
      <c r="H17" s="54">
        <f>+'[2]GL'!$G$19</f>
        <v>265515</v>
      </c>
    </row>
    <row r="18" spans="1:8" ht="14.25" customHeight="1">
      <c r="A18" s="50">
        <v>7</v>
      </c>
      <c r="B18" s="334" t="s">
        <v>516</v>
      </c>
      <c r="C18" s="335"/>
      <c r="D18" s="53"/>
      <c r="E18" s="54"/>
      <c r="F18" s="54"/>
      <c r="G18" s="171"/>
      <c r="H18" s="54"/>
    </row>
    <row r="19" spans="1:8" ht="14.25" customHeight="1">
      <c r="A19" s="50">
        <v>8</v>
      </c>
      <c r="B19" s="334" t="s">
        <v>372</v>
      </c>
      <c r="C19" s="335"/>
      <c r="D19" s="53"/>
      <c r="E19" s="54">
        <v>14286760.38</v>
      </c>
      <c r="F19" s="54">
        <v>4154056230.89</v>
      </c>
      <c r="G19" s="171">
        <f>+'[2]GL'!$G$13</f>
        <v>1238850.26</v>
      </c>
      <c r="H19" s="54">
        <f>+'[2]GL'!$G$12</f>
        <v>3555878215.83</v>
      </c>
    </row>
    <row r="20" spans="1:8" ht="14.25" customHeight="1">
      <c r="A20" s="50">
        <v>9</v>
      </c>
      <c r="B20" s="334" t="s">
        <v>506</v>
      </c>
      <c r="C20" s="335"/>
      <c r="D20" s="53"/>
      <c r="E20" s="54"/>
      <c r="F20" s="54">
        <v>57000</v>
      </c>
      <c r="G20" s="171"/>
      <c r="H20" s="54">
        <f>+'[2]GL'!$G$18</f>
        <v>36000</v>
      </c>
    </row>
    <row r="21" spans="1:8" ht="14.25" customHeight="1">
      <c r="A21" s="50">
        <v>10</v>
      </c>
      <c r="B21" s="334" t="s">
        <v>507</v>
      </c>
      <c r="C21" s="335"/>
      <c r="D21" s="53"/>
      <c r="E21" s="54"/>
      <c r="F21" s="54">
        <v>784497.5</v>
      </c>
      <c r="G21" s="171"/>
      <c r="H21" s="54">
        <f>+'[2]GL'!$G$21</f>
        <v>766497.5</v>
      </c>
    </row>
    <row r="22" spans="1:8" ht="14.25" customHeight="1">
      <c r="A22" s="50">
        <v>11</v>
      </c>
      <c r="B22" s="334" t="s">
        <v>517</v>
      </c>
      <c r="C22" s="335"/>
      <c r="D22" s="53"/>
      <c r="E22" s="54"/>
      <c r="F22" s="54">
        <v>2719124.33</v>
      </c>
      <c r="G22" s="171"/>
      <c r="H22" s="54">
        <f>+'[2]GL'!$G$22</f>
        <v>861114.33</v>
      </c>
    </row>
    <row r="23" spans="1:8" ht="14.25" customHeight="1">
      <c r="A23" s="50">
        <v>12</v>
      </c>
      <c r="B23" s="334" t="s">
        <v>518</v>
      </c>
      <c r="C23" s="335"/>
      <c r="D23" s="53"/>
      <c r="E23" s="54"/>
      <c r="F23" s="54"/>
      <c r="G23" s="54"/>
      <c r="H23" s="54"/>
    </row>
    <row r="24" spans="1:8" ht="14.25" customHeight="1">
      <c r="A24" s="50">
        <v>13</v>
      </c>
      <c r="B24" s="346" t="s">
        <v>533</v>
      </c>
      <c r="C24" s="347"/>
      <c r="D24" s="53"/>
      <c r="E24" s="54"/>
      <c r="F24" s="54">
        <v>20000</v>
      </c>
      <c r="G24" s="54"/>
      <c r="H24" s="54">
        <f>+'[2]GL'!$G$23</f>
        <v>14005200</v>
      </c>
    </row>
    <row r="25" spans="1:8" ht="14.25" customHeight="1">
      <c r="A25" s="50">
        <v>14</v>
      </c>
      <c r="B25" s="334" t="s">
        <v>519</v>
      </c>
      <c r="C25" s="335"/>
      <c r="D25" s="53"/>
      <c r="E25" s="54"/>
      <c r="F25" s="54">
        <v>1610738.45</v>
      </c>
      <c r="G25" s="54"/>
      <c r="H25" s="54">
        <f>+'[2]GL'!$G$27</f>
        <v>9999.98</v>
      </c>
    </row>
    <row r="26" spans="1:8" ht="14.25" customHeight="1">
      <c r="A26" s="50"/>
      <c r="B26" s="334" t="s">
        <v>544</v>
      </c>
      <c r="C26" s="335"/>
      <c r="D26" s="53"/>
      <c r="E26" s="54"/>
      <c r="F26" s="54"/>
      <c r="G26" s="54">
        <f>+'[2]GL'!$G$25+'[2]GL'!$G$26</f>
        <v>264051132.85</v>
      </c>
      <c r="H26" s="54">
        <f>+'[2]GL'!$G$24</f>
        <v>4208958.54</v>
      </c>
    </row>
    <row r="27" spans="1:8" ht="14.25" customHeight="1">
      <c r="A27" s="50">
        <v>15</v>
      </c>
      <c r="B27" s="346" t="s">
        <v>534</v>
      </c>
      <c r="C27" s="347"/>
      <c r="D27" s="53"/>
      <c r="E27" s="54"/>
      <c r="F27" s="54">
        <v>10043905</v>
      </c>
      <c r="G27" s="54"/>
      <c r="H27" s="54"/>
    </row>
    <row r="28" spans="1:8" s="8" customFormat="1" ht="14.25" customHeight="1">
      <c r="A28" s="100"/>
      <c r="B28" s="350" t="s">
        <v>376</v>
      </c>
      <c r="C28" s="351"/>
      <c r="D28" s="100"/>
      <c r="E28" s="75">
        <f>SUM(E12:E27)</f>
        <v>563612791.5799999</v>
      </c>
      <c r="F28" s="75">
        <f>SUM(F12:F27)</f>
        <v>6390740520.99</v>
      </c>
      <c r="G28" s="75">
        <f>SUM(G12:G27)</f>
        <v>472423122.09999996</v>
      </c>
      <c r="H28" s="75">
        <f>SUM(H12:H27)</f>
        <v>4506311877.669999</v>
      </c>
    </row>
    <row r="29" spans="6:8" ht="14.25" customHeight="1">
      <c r="F29" s="22">
        <f>+СБД!B11</f>
        <v>5027667551.5199995</v>
      </c>
      <c r="H29" s="22">
        <f>+СБД!C11</f>
        <v>6751683075.85</v>
      </c>
    </row>
    <row r="30" spans="1:8" ht="14.25" customHeight="1">
      <c r="A30" s="1">
        <v>4</v>
      </c>
      <c r="B30" s="1" t="s">
        <v>377</v>
      </c>
      <c r="F30" s="22">
        <f>+E28+F28-F29+F6</f>
        <v>1975618312.8000002</v>
      </c>
      <c r="H30" s="22">
        <f>+H29-H28-G28-H7</f>
        <v>1724015524.5300014</v>
      </c>
    </row>
    <row r="32" spans="1:8" ht="14.25" customHeight="1">
      <c r="A32" s="50"/>
      <c r="B32" s="336" t="s">
        <v>378</v>
      </c>
      <c r="C32" s="336"/>
      <c r="D32" s="336"/>
      <c r="E32" s="337" t="s">
        <v>1</v>
      </c>
      <c r="F32" s="337"/>
      <c r="G32" s="337" t="s">
        <v>2</v>
      </c>
      <c r="H32" s="337"/>
    </row>
    <row r="33" spans="1:9" ht="14.25" customHeight="1">
      <c r="A33" s="50">
        <v>1</v>
      </c>
      <c r="B33" s="336" t="s">
        <v>492</v>
      </c>
      <c r="C33" s="336"/>
      <c r="D33" s="336"/>
      <c r="E33" s="344">
        <v>289000000</v>
      </c>
      <c r="F33" s="345"/>
      <c r="G33" s="344">
        <f>+'[2]GL'!$G$31+'[2]GL'!$G$34</f>
        <v>3093183847.8500004</v>
      </c>
      <c r="H33" s="345"/>
      <c r="I33" s="209">
        <f>+G33/1000</f>
        <v>3093183.8478500005</v>
      </c>
    </row>
    <row r="34" spans="1:9" ht="14.25" customHeight="1">
      <c r="A34" s="50">
        <v>2</v>
      </c>
      <c r="B34" s="336" t="s">
        <v>493</v>
      </c>
      <c r="C34" s="336"/>
      <c r="D34" s="336"/>
      <c r="E34" s="344">
        <v>4838475249.38</v>
      </c>
      <c r="F34" s="345"/>
      <c r="G34" s="344">
        <f>+'[2]GL'!$G$33</f>
        <v>42900000.4</v>
      </c>
      <c r="H34" s="345"/>
      <c r="I34" s="209">
        <f>+G34/1000</f>
        <v>42900.0004</v>
      </c>
    </row>
    <row r="35" spans="1:9" ht="14.25" customHeight="1">
      <c r="A35" s="50">
        <v>3</v>
      </c>
      <c r="B35" s="336" t="s">
        <v>535</v>
      </c>
      <c r="C35" s="336"/>
      <c r="D35" s="336"/>
      <c r="E35" s="344">
        <v>2708376963</v>
      </c>
      <c r="F35" s="345"/>
      <c r="G35" s="344">
        <f>+'[2]GL'!$G$32</f>
        <v>508376963</v>
      </c>
      <c r="H35" s="345"/>
      <c r="I35" s="209">
        <f>+G35/1000</f>
        <v>508376.963</v>
      </c>
    </row>
    <row r="36" spans="1:8" s="8" customFormat="1" ht="14.25" customHeight="1">
      <c r="A36" s="59"/>
      <c r="B36" s="363" t="s">
        <v>379</v>
      </c>
      <c r="C36" s="363"/>
      <c r="D36" s="363"/>
      <c r="E36" s="348">
        <f>SUM(E33:F35)</f>
        <v>7835852212.38</v>
      </c>
      <c r="F36" s="349"/>
      <c r="G36" s="348">
        <f>SUM(G33:H35)</f>
        <v>3644460811.2500005</v>
      </c>
      <c r="H36" s="349"/>
    </row>
    <row r="37" spans="6:8" ht="14.25" customHeight="1">
      <c r="F37" s="22">
        <f>+СБД!B15-E36</f>
        <v>-4191391401.1299996</v>
      </c>
      <c r="H37" s="22">
        <f>+СБД!C15-G36</f>
        <v>-1052318020.4800005</v>
      </c>
    </row>
    <row r="38" spans="1:2" ht="14.25" customHeight="1">
      <c r="A38" s="1">
        <v>5</v>
      </c>
      <c r="B38" s="1" t="s">
        <v>380</v>
      </c>
    </row>
    <row r="40" spans="1:8" ht="14.25" customHeight="1">
      <c r="A40" s="338"/>
      <c r="B40" s="352" t="s">
        <v>381</v>
      </c>
      <c r="C40" s="353"/>
      <c r="D40" s="354"/>
      <c r="E40" s="337" t="s">
        <v>1</v>
      </c>
      <c r="F40" s="337"/>
      <c r="G40" s="337" t="s">
        <v>2</v>
      </c>
      <c r="H40" s="337"/>
    </row>
    <row r="41" spans="1:8" ht="14.25" customHeight="1">
      <c r="A41" s="339"/>
      <c r="B41" s="355"/>
      <c r="C41" s="323"/>
      <c r="D41" s="356"/>
      <c r="E41" s="54" t="s">
        <v>364</v>
      </c>
      <c r="F41" s="54" t="s">
        <v>365</v>
      </c>
      <c r="G41" s="54" t="s">
        <v>364</v>
      </c>
      <c r="H41" s="54" t="s">
        <v>365</v>
      </c>
    </row>
    <row r="42" spans="1:10" s="8" customFormat="1" ht="14.25" customHeight="1">
      <c r="A42" s="59">
        <v>1</v>
      </c>
      <c r="B42" s="357" t="s">
        <v>382</v>
      </c>
      <c r="C42" s="358"/>
      <c r="D42" s="359"/>
      <c r="E42" s="61">
        <f>+E43+E44+E45</f>
        <v>0</v>
      </c>
      <c r="F42" s="61">
        <f>+F43+F44+F45+F49</f>
        <v>40038097735.26</v>
      </c>
      <c r="G42" s="61">
        <f>+G43+G44+G45+G49</f>
        <v>498932962.19</v>
      </c>
      <c r="H42" s="61">
        <f>+H43+H44+H45+H49</f>
        <v>42154480697.93999</v>
      </c>
      <c r="J42" s="212">
        <f>+H42/1000</f>
        <v>42154480.697939985</v>
      </c>
    </row>
    <row r="43" spans="1:10" ht="14.25" customHeight="1">
      <c r="A43" s="50">
        <v>2</v>
      </c>
      <c r="B43" s="360" t="s">
        <v>383</v>
      </c>
      <c r="C43" s="361"/>
      <c r="D43" s="362"/>
      <c r="E43" s="54"/>
      <c r="F43" s="54">
        <f>+СБД!B23</f>
        <v>36266543680.01</v>
      </c>
      <c r="G43" s="210">
        <f>+'[2]GL'!$H$40</f>
        <v>498932962.19</v>
      </c>
      <c r="H43" s="54">
        <f>+СБД!C23-G43</f>
        <v>37924249884.579994</v>
      </c>
      <c r="I43" s="211">
        <f>+G43/1000</f>
        <v>498932.96219</v>
      </c>
      <c r="J43" s="212">
        <f>+H43/1000</f>
        <v>37924249.884579994</v>
      </c>
    </row>
    <row r="44" spans="1:10" ht="14.25" customHeight="1">
      <c r="A44" s="50">
        <v>3</v>
      </c>
      <c r="B44" s="360" t="s">
        <v>384</v>
      </c>
      <c r="C44" s="361"/>
      <c r="D44" s="362"/>
      <c r="E44" s="54"/>
      <c r="F44" s="54">
        <f>+СБД!B24</f>
        <v>2277384453.87</v>
      </c>
      <c r="G44" s="54"/>
      <c r="H44" s="54">
        <f>+СБД!C24</f>
        <v>2657405594.27</v>
      </c>
      <c r="J44" s="212">
        <f aca="true" t="shared" si="0" ref="J44:J49">+H44/1000</f>
        <v>2657405.59427</v>
      </c>
    </row>
    <row r="45" spans="1:10" s="8" customFormat="1" ht="14.25" customHeight="1">
      <c r="A45" s="59">
        <v>4</v>
      </c>
      <c r="B45" s="357" t="s">
        <v>385</v>
      </c>
      <c r="C45" s="358"/>
      <c r="D45" s="359"/>
      <c r="E45" s="61">
        <f>+E46+E47+E48</f>
        <v>0</v>
      </c>
      <c r="F45" s="61">
        <f>+SUM(F46:F48)</f>
        <v>3253914287.74</v>
      </c>
      <c r="G45" s="61">
        <f>+G46+G47+G48</f>
        <v>0</v>
      </c>
      <c r="H45" s="61">
        <f>+H46+H47+H48</f>
        <v>3005117649.56</v>
      </c>
      <c r="J45" s="212">
        <f t="shared" si="0"/>
        <v>3005117.64956</v>
      </c>
    </row>
    <row r="46" spans="1:10" ht="14.25" customHeight="1">
      <c r="A46" s="50">
        <v>5</v>
      </c>
      <c r="B46" s="360" t="s">
        <v>386</v>
      </c>
      <c r="C46" s="361"/>
      <c r="D46" s="362"/>
      <c r="E46" s="54"/>
      <c r="F46" s="54">
        <f>+СБД!B26</f>
        <v>2689399112.44</v>
      </c>
      <c r="G46" s="54"/>
      <c r="H46" s="54">
        <f>+СБД!C26</f>
        <v>1753931694.76</v>
      </c>
      <c r="J46" s="212">
        <f t="shared" si="0"/>
        <v>1753931.69476</v>
      </c>
    </row>
    <row r="47" spans="1:10" ht="14.25" customHeight="1">
      <c r="A47" s="50">
        <v>6</v>
      </c>
      <c r="B47" s="360" t="s">
        <v>387</v>
      </c>
      <c r="C47" s="361"/>
      <c r="D47" s="362"/>
      <c r="E47" s="54"/>
      <c r="F47" s="54">
        <f>+СБД!B27</f>
        <v>241135068.35</v>
      </c>
      <c r="G47" s="54"/>
      <c r="H47" s="54">
        <f>+СБД!C27</f>
        <v>1133519177.7</v>
      </c>
      <c r="J47" s="212">
        <f t="shared" si="0"/>
        <v>1133519.1777000001</v>
      </c>
    </row>
    <row r="48" spans="1:10" ht="14.25" customHeight="1">
      <c r="A48" s="50">
        <v>7</v>
      </c>
      <c r="B48" s="360" t="s">
        <v>388</v>
      </c>
      <c r="C48" s="361"/>
      <c r="D48" s="362"/>
      <c r="E48" s="54"/>
      <c r="F48" s="54">
        <f>+СБД!B28</f>
        <v>323380106.95</v>
      </c>
      <c r="G48" s="54"/>
      <c r="H48" s="54">
        <f>+СБД!C28</f>
        <v>117666777.1</v>
      </c>
      <c r="J48" s="212">
        <f t="shared" si="0"/>
        <v>117666.77709999999</v>
      </c>
    </row>
    <row r="49" spans="1:10" ht="14.25" customHeight="1">
      <c r="A49" s="50">
        <v>8</v>
      </c>
      <c r="B49" s="360" t="s">
        <v>389</v>
      </c>
      <c r="C49" s="361"/>
      <c r="D49" s="362"/>
      <c r="E49" s="54"/>
      <c r="F49" s="54">
        <f>+СБД!B29</f>
        <v>-1759744686.36</v>
      </c>
      <c r="G49" s="54"/>
      <c r="H49" s="54">
        <f>+СБД!C29</f>
        <v>-1432292430.47</v>
      </c>
      <c r="J49" s="212">
        <f t="shared" si="0"/>
        <v>-1432292.43047</v>
      </c>
    </row>
    <row r="50" ht="14.25" customHeight="1">
      <c r="H50" s="22">
        <f>+СБД!C21-H42-G42</f>
        <v>2.4437904357910156E-06</v>
      </c>
    </row>
    <row r="51" spans="1:2" ht="14.25" customHeight="1">
      <c r="A51" s="1">
        <v>6</v>
      </c>
      <c r="B51" s="1" t="s">
        <v>390</v>
      </c>
    </row>
    <row r="53" spans="1:8" ht="14.25" customHeight="1">
      <c r="A53" s="338"/>
      <c r="B53" s="352" t="s">
        <v>391</v>
      </c>
      <c r="C53" s="353"/>
      <c r="D53" s="354"/>
      <c r="E53" s="337" t="s">
        <v>1</v>
      </c>
      <c r="F53" s="337"/>
      <c r="G53" s="337" t="s">
        <v>2</v>
      </c>
      <c r="H53" s="337"/>
    </row>
    <row r="54" spans="1:8" ht="14.25" customHeight="1">
      <c r="A54" s="339"/>
      <c r="B54" s="355"/>
      <c r="C54" s="323"/>
      <c r="D54" s="356"/>
      <c r="E54" s="54" t="s">
        <v>364</v>
      </c>
      <c r="F54" s="54" t="s">
        <v>365</v>
      </c>
      <c r="G54" s="54" t="s">
        <v>364</v>
      </c>
      <c r="H54" s="54" t="s">
        <v>365</v>
      </c>
    </row>
    <row r="55" spans="1:8" ht="14.25" customHeight="1">
      <c r="A55" s="50">
        <v>1</v>
      </c>
      <c r="B55" s="360" t="s">
        <v>392</v>
      </c>
      <c r="C55" s="361"/>
      <c r="D55" s="362"/>
      <c r="E55" s="54"/>
      <c r="F55" s="54"/>
      <c r="G55" s="54"/>
      <c r="H55" s="54"/>
    </row>
    <row r="56" spans="1:8" ht="14.25" customHeight="1">
      <c r="A56" s="50">
        <v>2</v>
      </c>
      <c r="B56" s="360" t="s">
        <v>393</v>
      </c>
      <c r="C56" s="361"/>
      <c r="D56" s="362"/>
      <c r="E56" s="54"/>
      <c r="F56" s="54"/>
      <c r="G56" s="54"/>
      <c r="H56" s="54"/>
    </row>
    <row r="57" spans="1:8" ht="14.25" customHeight="1">
      <c r="A57" s="50">
        <v>3</v>
      </c>
      <c r="B57" s="360" t="s">
        <v>394</v>
      </c>
      <c r="C57" s="361"/>
      <c r="D57" s="362"/>
      <c r="E57" s="54"/>
      <c r="F57" s="54"/>
      <c r="G57" s="54"/>
      <c r="H57" s="54"/>
    </row>
    <row r="58" spans="1:8" ht="14.25" customHeight="1">
      <c r="A58" s="50">
        <v>4</v>
      </c>
      <c r="B58" s="360" t="s">
        <v>395</v>
      </c>
      <c r="C58" s="361"/>
      <c r="D58" s="362"/>
      <c r="E58" s="54"/>
      <c r="F58" s="54"/>
      <c r="G58" s="54"/>
      <c r="H58" s="54"/>
    </row>
    <row r="59" spans="1:8" ht="14.25" customHeight="1">
      <c r="A59" s="50">
        <v>5</v>
      </c>
      <c r="B59" s="360" t="s">
        <v>396</v>
      </c>
      <c r="C59" s="361"/>
      <c r="D59" s="362"/>
      <c r="E59" s="54"/>
      <c r="F59" s="54"/>
      <c r="G59" s="54"/>
      <c r="H59" s="54"/>
    </row>
    <row r="60" spans="1:8" ht="14.25" customHeight="1">
      <c r="A60" s="50">
        <v>6</v>
      </c>
      <c r="B60" s="360" t="s">
        <v>397</v>
      </c>
      <c r="C60" s="361"/>
      <c r="D60" s="362"/>
      <c r="E60" s="54"/>
      <c r="F60" s="54"/>
      <c r="G60" s="54"/>
      <c r="H60" s="54"/>
    </row>
    <row r="61" spans="1:8" ht="14.25" customHeight="1">
      <c r="A61" s="50">
        <v>7</v>
      </c>
      <c r="B61" s="360" t="s">
        <v>398</v>
      </c>
      <c r="C61" s="361"/>
      <c r="D61" s="362"/>
      <c r="E61" s="54"/>
      <c r="F61" s="54"/>
      <c r="G61" s="54"/>
      <c r="H61" s="54"/>
    </row>
    <row r="62" spans="1:8" ht="14.25" customHeight="1">
      <c r="A62" s="50">
        <v>8</v>
      </c>
      <c r="B62" s="360" t="s">
        <v>399</v>
      </c>
      <c r="C62" s="361"/>
      <c r="D62" s="362"/>
      <c r="E62" s="54"/>
      <c r="F62" s="54"/>
      <c r="G62" s="54"/>
      <c r="H62" s="54"/>
    </row>
  </sheetData>
  <sheetProtection/>
  <mergeCells count="66">
    <mergeCell ref="G53:H53"/>
    <mergeCell ref="B44:D44"/>
    <mergeCell ref="B45:D45"/>
    <mergeCell ref="B59:D59"/>
    <mergeCell ref="B60:D60"/>
    <mergeCell ref="B46:D46"/>
    <mergeCell ref="B47:D47"/>
    <mergeCell ref="B48:D48"/>
    <mergeCell ref="B49:D49"/>
    <mergeCell ref="A53:A54"/>
    <mergeCell ref="B53:D54"/>
    <mergeCell ref="B55:D55"/>
    <mergeCell ref="B56:D56"/>
    <mergeCell ref="B57:D57"/>
    <mergeCell ref="B58:D58"/>
    <mergeCell ref="B43:D43"/>
    <mergeCell ref="B34:D34"/>
    <mergeCell ref="E34:F34"/>
    <mergeCell ref="B61:D61"/>
    <mergeCell ref="B62:D62"/>
    <mergeCell ref="E53:F53"/>
    <mergeCell ref="E36:F36"/>
    <mergeCell ref="B36:D36"/>
    <mergeCell ref="A40:A41"/>
    <mergeCell ref="B40:D41"/>
    <mergeCell ref="B33:D33"/>
    <mergeCell ref="E33:F33"/>
    <mergeCell ref="G33:H33"/>
    <mergeCell ref="B42:D42"/>
    <mergeCell ref="E40:F40"/>
    <mergeCell ref="G40:H40"/>
    <mergeCell ref="E35:F35"/>
    <mergeCell ref="G34:H34"/>
    <mergeCell ref="G36:H36"/>
    <mergeCell ref="B35:D35"/>
    <mergeCell ref="G35:H35"/>
    <mergeCell ref="B23:C23"/>
    <mergeCell ref="B25:C25"/>
    <mergeCell ref="B28:C28"/>
    <mergeCell ref="B32:D32"/>
    <mergeCell ref="E32:F32"/>
    <mergeCell ref="G32:H32"/>
    <mergeCell ref="B24:C24"/>
    <mergeCell ref="B26:C26"/>
    <mergeCell ref="B27:C27"/>
    <mergeCell ref="B17:C17"/>
    <mergeCell ref="B18:C18"/>
    <mergeCell ref="B19:C19"/>
    <mergeCell ref="B20:C20"/>
    <mergeCell ref="B21:C21"/>
    <mergeCell ref="B22:C22"/>
    <mergeCell ref="A10:A11"/>
    <mergeCell ref="B10:C11"/>
    <mergeCell ref="D10:D11"/>
    <mergeCell ref="E10:F10"/>
    <mergeCell ref="G10:H10"/>
    <mergeCell ref="B12:C12"/>
    <mergeCell ref="B14:C14"/>
    <mergeCell ref="B15:C15"/>
    <mergeCell ref="B16:C16"/>
    <mergeCell ref="B4:C4"/>
    <mergeCell ref="E4:F4"/>
    <mergeCell ref="G4:H4"/>
    <mergeCell ref="B5:C5"/>
    <mergeCell ref="B6:C6"/>
    <mergeCell ref="B13:C13"/>
  </mergeCells>
  <printOptions horizontalCentered="1" verticalCentered="1"/>
  <pageMargins left="0.5" right="0.35" top="0" bottom="0" header="0.4" footer="0.3"/>
  <pageSetup fitToHeight="0" fitToWidth="1" horizontalDpi="600" verticalDpi="600" orientation="portrait" paperSize="9" scale="94" r:id="rId1"/>
  <headerFooter alignWithMargins="0">
    <oddFooter>&amp;L10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2:I51"/>
  <sheetViews>
    <sheetView showGridLines="0" view="pageBreakPreview" zoomScale="110" zoomScaleSheetLayoutView="110" zoomScalePageLayoutView="0" workbookViewId="0" topLeftCell="A19">
      <selection activeCell="I40" sqref="I40"/>
    </sheetView>
  </sheetViews>
  <sheetFormatPr defaultColWidth="9.8515625" defaultRowHeight="14.25" customHeight="1"/>
  <cols>
    <col min="1" max="1" width="6.00390625" style="1" customWidth="1"/>
    <col min="2" max="3" width="9.8515625" style="1" customWidth="1"/>
    <col min="4" max="4" width="13.140625" style="1" bestFit="1" customWidth="1"/>
    <col min="5" max="7" width="14.7109375" style="22" customWidth="1"/>
    <col min="8" max="8" width="15.57421875" style="22" customWidth="1"/>
    <col min="9" max="9" width="13.7109375" style="1" bestFit="1" customWidth="1"/>
    <col min="10" max="16384" width="9.8515625" style="1" customWidth="1"/>
  </cols>
  <sheetData>
    <row r="2" spans="1:2" ht="14.25" customHeight="1">
      <c r="A2" s="1">
        <v>7</v>
      </c>
      <c r="B2" s="1" t="s">
        <v>400</v>
      </c>
    </row>
    <row r="4" spans="1:8" ht="14.25" customHeight="1">
      <c r="A4" s="338"/>
      <c r="B4" s="352" t="s">
        <v>381</v>
      </c>
      <c r="C4" s="353"/>
      <c r="D4" s="354"/>
      <c r="E4" s="337" t="s">
        <v>1</v>
      </c>
      <c r="F4" s="337"/>
      <c r="G4" s="337" t="s">
        <v>2</v>
      </c>
      <c r="H4" s="337"/>
    </row>
    <row r="5" spans="1:8" ht="14.25" customHeight="1">
      <c r="A5" s="339"/>
      <c r="B5" s="355"/>
      <c r="C5" s="323"/>
      <c r="D5" s="356"/>
      <c r="E5" s="54" t="s">
        <v>364</v>
      </c>
      <c r="F5" s="54" t="s">
        <v>365</v>
      </c>
      <c r="G5" s="54" t="s">
        <v>364</v>
      </c>
      <c r="H5" s="54" t="s">
        <v>365</v>
      </c>
    </row>
    <row r="6" spans="1:8" ht="14.25" customHeight="1">
      <c r="A6" s="50">
        <v>1</v>
      </c>
      <c r="B6" s="360" t="s">
        <v>401</v>
      </c>
      <c r="C6" s="361"/>
      <c r="D6" s="362"/>
      <c r="E6" s="54"/>
      <c r="F6" s="54"/>
      <c r="G6" s="54"/>
      <c r="H6" s="54"/>
    </row>
    <row r="7" spans="1:8" ht="14.25" customHeight="1">
      <c r="A7" s="50">
        <v>2</v>
      </c>
      <c r="B7" s="360" t="s">
        <v>402</v>
      </c>
      <c r="C7" s="361"/>
      <c r="D7" s="362"/>
      <c r="E7" s="54"/>
      <c r="F7" s="54"/>
      <c r="G7" s="54"/>
      <c r="H7" s="54"/>
    </row>
    <row r="8" spans="1:8" ht="14.25" customHeight="1">
      <c r="A8" s="50">
        <v>3</v>
      </c>
      <c r="B8" s="360" t="s">
        <v>403</v>
      </c>
      <c r="C8" s="361"/>
      <c r="D8" s="362"/>
      <c r="E8" s="54"/>
      <c r="F8" s="54"/>
      <c r="G8" s="54"/>
      <c r="H8" s="54"/>
    </row>
    <row r="9" spans="1:8" ht="14.25" customHeight="1">
      <c r="A9" s="50">
        <v>4</v>
      </c>
      <c r="B9" s="360" t="s">
        <v>404</v>
      </c>
      <c r="C9" s="361"/>
      <c r="D9" s="362"/>
      <c r="E9" s="54"/>
      <c r="F9" s="54"/>
      <c r="G9" s="54"/>
      <c r="H9" s="54"/>
    </row>
    <row r="10" spans="1:8" ht="14.25" customHeight="1">
      <c r="A10" s="50">
        <v>5</v>
      </c>
      <c r="B10" s="360" t="s">
        <v>405</v>
      </c>
      <c r="C10" s="361"/>
      <c r="D10" s="362"/>
      <c r="E10" s="54"/>
      <c r="F10" s="54"/>
      <c r="G10" s="54"/>
      <c r="H10" s="54"/>
    </row>
    <row r="11" spans="1:8" ht="14.25" customHeight="1">
      <c r="A11" s="50">
        <v>6</v>
      </c>
      <c r="B11" s="360" t="s">
        <v>406</v>
      </c>
      <c r="C11" s="361"/>
      <c r="D11" s="362"/>
      <c r="E11" s="54"/>
      <c r="F11" s="54"/>
      <c r="G11" s="54"/>
      <c r="H11" s="54"/>
    </row>
    <row r="12" spans="1:8" ht="14.25" customHeight="1">
      <c r="A12" s="50">
        <v>7</v>
      </c>
      <c r="B12" s="360" t="s">
        <v>407</v>
      </c>
      <c r="C12" s="361"/>
      <c r="D12" s="362"/>
      <c r="E12" s="54"/>
      <c r="F12" s="54"/>
      <c r="G12" s="54"/>
      <c r="H12" s="54"/>
    </row>
    <row r="13" spans="1:8" ht="14.25" customHeight="1">
      <c r="A13" s="50">
        <v>8</v>
      </c>
      <c r="B13" s="360" t="s">
        <v>408</v>
      </c>
      <c r="C13" s="361"/>
      <c r="D13" s="362"/>
      <c r="E13" s="54"/>
      <c r="F13" s="54"/>
      <c r="G13" s="54"/>
      <c r="H13" s="54"/>
    </row>
    <row r="15" spans="1:2" ht="14.25" customHeight="1">
      <c r="A15" s="1">
        <v>8</v>
      </c>
      <c r="B15" s="1" t="s">
        <v>409</v>
      </c>
    </row>
    <row r="17" spans="1:8" ht="14.25" customHeight="1">
      <c r="A17" s="55"/>
      <c r="B17" s="352" t="s">
        <v>363</v>
      </c>
      <c r="C17" s="353"/>
      <c r="D17" s="354"/>
      <c r="E17" s="364" t="s">
        <v>1</v>
      </c>
      <c r="F17" s="365"/>
      <c r="G17" s="364" t="s">
        <v>2</v>
      </c>
      <c r="H17" s="365"/>
    </row>
    <row r="18" spans="1:8" ht="14.25" customHeight="1">
      <c r="A18" s="50">
        <v>1</v>
      </c>
      <c r="B18" s="360"/>
      <c r="C18" s="361"/>
      <c r="D18" s="362"/>
      <c r="E18" s="344"/>
      <c r="F18" s="345"/>
      <c r="G18" s="344"/>
      <c r="H18" s="345"/>
    </row>
    <row r="19" spans="1:8" ht="14.25" customHeight="1">
      <c r="A19" s="50">
        <v>2</v>
      </c>
      <c r="B19" s="360"/>
      <c r="C19" s="361"/>
      <c r="D19" s="362"/>
      <c r="E19" s="344"/>
      <c r="F19" s="345"/>
      <c r="G19" s="344"/>
      <c r="H19" s="345"/>
    </row>
    <row r="21" spans="1:2" ht="14.25" customHeight="1">
      <c r="A21" s="1">
        <v>9</v>
      </c>
      <c r="B21" s="1" t="s">
        <v>410</v>
      </c>
    </row>
    <row r="23" spans="1:9" ht="14.25" customHeight="1">
      <c r="A23" s="55"/>
      <c r="B23" s="352" t="s">
        <v>363</v>
      </c>
      <c r="C23" s="353"/>
      <c r="D23" s="354"/>
      <c r="E23" s="337" t="s">
        <v>1</v>
      </c>
      <c r="F23" s="337"/>
      <c r="G23" s="337" t="s">
        <v>2</v>
      </c>
      <c r="H23" s="337"/>
      <c r="I23" s="209"/>
    </row>
    <row r="24" spans="1:9" ht="14.25" customHeight="1">
      <c r="A24" s="50">
        <v>1</v>
      </c>
      <c r="B24" s="360" t="s">
        <v>494</v>
      </c>
      <c r="C24" s="361"/>
      <c r="D24" s="362"/>
      <c r="E24" s="344">
        <f>+СБД!B64</f>
        <v>3725845027.4399996</v>
      </c>
      <c r="F24" s="345"/>
      <c r="G24" s="344">
        <f>+СБД!C64</f>
        <v>3712397107.07</v>
      </c>
      <c r="H24" s="345"/>
      <c r="I24" s="209">
        <f>+G24/1000</f>
        <v>3712397.1070700004</v>
      </c>
    </row>
    <row r="25" spans="1:8" ht="14.25" customHeight="1">
      <c r="A25" s="50">
        <v>2</v>
      </c>
      <c r="B25" s="360"/>
      <c r="C25" s="361"/>
      <c r="D25" s="362"/>
      <c r="E25" s="344"/>
      <c r="F25" s="345"/>
      <c r="G25" s="344"/>
      <c r="H25" s="345"/>
    </row>
    <row r="26" ht="14.25" customHeight="1">
      <c r="H26" s="22">
        <f>+СБД!C64-G24</f>
        <v>0</v>
      </c>
    </row>
    <row r="27" spans="1:2" ht="14.25" customHeight="1">
      <c r="A27" s="1">
        <v>10</v>
      </c>
      <c r="B27" s="1" t="s">
        <v>411</v>
      </c>
    </row>
    <row r="29" spans="1:8" ht="14.25" customHeight="1">
      <c r="A29" s="55"/>
      <c r="B29" s="352" t="s">
        <v>363</v>
      </c>
      <c r="C29" s="353"/>
      <c r="D29" s="354"/>
      <c r="E29" s="337" t="s">
        <v>1</v>
      </c>
      <c r="F29" s="337"/>
      <c r="G29" s="337" t="s">
        <v>2</v>
      </c>
      <c r="H29" s="337"/>
    </row>
    <row r="30" spans="1:9" ht="14.25" customHeight="1">
      <c r="A30" s="50">
        <v>1</v>
      </c>
      <c r="B30" s="360" t="s">
        <v>509</v>
      </c>
      <c r="C30" s="361"/>
      <c r="D30" s="362"/>
      <c r="E30" s="344">
        <f>+СБД!B73</f>
        <v>1622026763.77</v>
      </c>
      <c r="F30" s="345"/>
      <c r="G30" s="344">
        <f>+СБД!C73</f>
        <v>2867112002.12</v>
      </c>
      <c r="H30" s="345"/>
      <c r="I30" s="209">
        <f>+G30/1000</f>
        <v>2867112.00212</v>
      </c>
    </row>
    <row r="31" spans="1:9" ht="14.25" customHeight="1">
      <c r="A31" s="50">
        <v>2</v>
      </c>
      <c r="B31" s="360"/>
      <c r="C31" s="361"/>
      <c r="D31" s="362"/>
      <c r="E31" s="56"/>
      <c r="F31" s="57"/>
      <c r="G31" s="344"/>
      <c r="H31" s="345"/>
      <c r="I31" s="209"/>
    </row>
    <row r="32" spans="1:8" ht="14.25" customHeight="1">
      <c r="A32" s="50">
        <v>3</v>
      </c>
      <c r="B32" s="360"/>
      <c r="C32" s="361"/>
      <c r="D32" s="362"/>
      <c r="E32" s="56"/>
      <c r="F32" s="57"/>
      <c r="G32" s="344"/>
      <c r="H32" s="345"/>
    </row>
    <row r="33" spans="1:8" s="8" customFormat="1" ht="14.25" customHeight="1">
      <c r="A33" s="59"/>
      <c r="B33" s="350" t="s">
        <v>376</v>
      </c>
      <c r="C33" s="366"/>
      <c r="D33" s="351"/>
      <c r="E33" s="367">
        <f>SUM(E30:F32)</f>
        <v>1622026763.77</v>
      </c>
      <c r="F33" s="368"/>
      <c r="G33" s="367">
        <f>SUM(G30:H32)</f>
        <v>2867112002.12</v>
      </c>
      <c r="H33" s="368"/>
    </row>
    <row r="35" spans="1:2" ht="14.25" customHeight="1">
      <c r="A35" s="1">
        <v>11</v>
      </c>
      <c r="B35" s="1" t="s">
        <v>412</v>
      </c>
    </row>
    <row r="37" spans="1:8" ht="24" customHeight="1">
      <c r="A37" s="55"/>
      <c r="B37" s="369" t="s">
        <v>413</v>
      </c>
      <c r="C37" s="370"/>
      <c r="D37" s="371"/>
      <c r="E37" s="337" t="s">
        <v>1</v>
      </c>
      <c r="F37" s="337"/>
      <c r="G37" s="337" t="s">
        <v>2</v>
      </c>
      <c r="H37" s="337"/>
    </row>
    <row r="38" spans="1:9" ht="14.25" customHeight="1">
      <c r="A38" s="50">
        <v>1</v>
      </c>
      <c r="B38" s="360" t="s">
        <v>414</v>
      </c>
      <c r="C38" s="361"/>
      <c r="D38" s="362"/>
      <c r="E38" s="344">
        <f>+СБД!B67</f>
        <v>732612884.42</v>
      </c>
      <c r="F38" s="345"/>
      <c r="G38" s="344">
        <f>+СБД!C67</f>
        <v>1138363993.05</v>
      </c>
      <c r="H38" s="345"/>
      <c r="I38" s="209">
        <f>+G38/1000</f>
        <v>1138363.99305</v>
      </c>
    </row>
    <row r="39" spans="1:8" ht="14.25" customHeight="1">
      <c r="A39" s="50">
        <v>2</v>
      </c>
      <c r="B39" s="360"/>
      <c r="C39" s="361"/>
      <c r="D39" s="362"/>
      <c r="E39" s="56"/>
      <c r="F39" s="57"/>
      <c r="G39" s="344"/>
      <c r="H39" s="345"/>
    </row>
    <row r="40" spans="1:8" ht="14.25" customHeight="1">
      <c r="A40" s="50">
        <v>3</v>
      </c>
      <c r="B40" s="62"/>
      <c r="C40" s="63"/>
      <c r="D40" s="64"/>
      <c r="E40" s="56"/>
      <c r="F40" s="57"/>
      <c r="G40" s="56"/>
      <c r="H40" s="57"/>
    </row>
    <row r="41" spans="1:8" s="8" customFormat="1" ht="14.25" customHeight="1">
      <c r="A41" s="59"/>
      <c r="B41" s="350" t="s">
        <v>376</v>
      </c>
      <c r="C41" s="366"/>
      <c r="D41" s="351"/>
      <c r="E41" s="348">
        <f>+E38+E39</f>
        <v>732612884.42</v>
      </c>
      <c r="F41" s="349"/>
      <c r="G41" s="348">
        <f>+G38+G39</f>
        <v>1138363993.05</v>
      </c>
      <c r="H41" s="349"/>
    </row>
    <row r="43" spans="1:2" ht="14.25" customHeight="1">
      <c r="A43" s="1">
        <v>12</v>
      </c>
      <c r="B43" s="1" t="s">
        <v>415</v>
      </c>
    </row>
    <row r="45" spans="1:8" ht="26.25" customHeight="1">
      <c r="A45" s="55"/>
      <c r="B45" s="369" t="s">
        <v>416</v>
      </c>
      <c r="C45" s="370"/>
      <c r="D45" s="371"/>
      <c r="E45" s="337" t="s">
        <v>1</v>
      </c>
      <c r="F45" s="337"/>
      <c r="G45" s="337" t="s">
        <v>2</v>
      </c>
      <c r="H45" s="337"/>
    </row>
    <row r="46" spans="1:8" ht="14.25" customHeight="1">
      <c r="A46" s="50">
        <v>1</v>
      </c>
      <c r="B46" s="360" t="s">
        <v>417</v>
      </c>
      <c r="C46" s="361"/>
      <c r="D46" s="362"/>
      <c r="E46" s="344">
        <f>+СБД!B82</f>
        <v>1904500</v>
      </c>
      <c r="F46" s="345"/>
      <c r="G46" s="344">
        <f>+СБД!C82</f>
        <v>7897883.69</v>
      </c>
      <c r="H46" s="345"/>
    </row>
    <row r="47" spans="1:8" ht="14.25" customHeight="1">
      <c r="A47" s="50">
        <v>2</v>
      </c>
      <c r="B47" s="360" t="s">
        <v>495</v>
      </c>
      <c r="C47" s="361"/>
      <c r="D47" s="362"/>
      <c r="E47" s="56"/>
      <c r="F47" s="57"/>
      <c r="G47" s="56"/>
      <c r="H47" s="57"/>
    </row>
    <row r="48" spans="1:8" ht="14.25" customHeight="1">
      <c r="A48" s="50">
        <v>3</v>
      </c>
      <c r="B48" s="360"/>
      <c r="C48" s="361"/>
      <c r="D48" s="362"/>
      <c r="E48" s="56"/>
      <c r="F48" s="57"/>
      <c r="G48" s="56"/>
      <c r="H48" s="57"/>
    </row>
    <row r="49" spans="1:8" ht="14.25" customHeight="1">
      <c r="A49" s="50">
        <v>4</v>
      </c>
      <c r="B49" s="360"/>
      <c r="C49" s="361"/>
      <c r="D49" s="362"/>
      <c r="E49" s="56"/>
      <c r="F49" s="57"/>
      <c r="G49" s="56"/>
      <c r="H49" s="57"/>
    </row>
    <row r="50" spans="1:8" ht="14.25" customHeight="1">
      <c r="A50" s="50">
        <v>5</v>
      </c>
      <c r="B50" s="360"/>
      <c r="C50" s="361"/>
      <c r="D50" s="362"/>
      <c r="E50" s="56"/>
      <c r="F50" s="57"/>
      <c r="G50" s="56"/>
      <c r="H50" s="57"/>
    </row>
    <row r="51" spans="1:8" s="8" customFormat="1" ht="14.25" customHeight="1">
      <c r="A51" s="59"/>
      <c r="B51" s="350" t="s">
        <v>376</v>
      </c>
      <c r="C51" s="366"/>
      <c r="D51" s="351"/>
      <c r="E51" s="348">
        <f>SUM(E46:F50)</f>
        <v>1904500</v>
      </c>
      <c r="F51" s="349"/>
      <c r="G51" s="348">
        <f>SUM(G46:H50)</f>
        <v>7897883.69</v>
      </c>
      <c r="H51" s="349"/>
    </row>
  </sheetData>
  <sheetProtection/>
  <mergeCells count="67">
    <mergeCell ref="B46:D46"/>
    <mergeCell ref="E46:F46"/>
    <mergeCell ref="G46:H46"/>
    <mergeCell ref="B51:D51"/>
    <mergeCell ref="E51:F51"/>
    <mergeCell ref="G51:H51"/>
    <mergeCell ref="B47:D47"/>
    <mergeCell ref="B48:D48"/>
    <mergeCell ref="B49:D49"/>
    <mergeCell ref="B50:D50"/>
    <mergeCell ref="B39:D39"/>
    <mergeCell ref="G39:H39"/>
    <mergeCell ref="B41:D41"/>
    <mergeCell ref="E41:F41"/>
    <mergeCell ref="G41:H41"/>
    <mergeCell ref="B45:D45"/>
    <mergeCell ref="E45:F45"/>
    <mergeCell ref="G45:H45"/>
    <mergeCell ref="B37:D37"/>
    <mergeCell ref="E37:F37"/>
    <mergeCell ref="G37:H37"/>
    <mergeCell ref="B38:D38"/>
    <mergeCell ref="E38:F38"/>
    <mergeCell ref="G38:H38"/>
    <mergeCell ref="B31:D31"/>
    <mergeCell ref="G31:H31"/>
    <mergeCell ref="B32:D32"/>
    <mergeCell ref="G32:H32"/>
    <mergeCell ref="B33:D33"/>
    <mergeCell ref="E33:F33"/>
    <mergeCell ref="G33:H33"/>
    <mergeCell ref="B29:D29"/>
    <mergeCell ref="E29:F29"/>
    <mergeCell ref="G29:H29"/>
    <mergeCell ref="B30:D30"/>
    <mergeCell ref="E30:F30"/>
    <mergeCell ref="G30:H30"/>
    <mergeCell ref="B24:D24"/>
    <mergeCell ref="E24:F24"/>
    <mergeCell ref="G24:H24"/>
    <mergeCell ref="B25:D25"/>
    <mergeCell ref="E25:F25"/>
    <mergeCell ref="G25:H25"/>
    <mergeCell ref="B19:D19"/>
    <mergeCell ref="E19:F19"/>
    <mergeCell ref="G19:H19"/>
    <mergeCell ref="B23:D23"/>
    <mergeCell ref="E23:F23"/>
    <mergeCell ref="G23:H23"/>
    <mergeCell ref="B17:D17"/>
    <mergeCell ref="E17:F17"/>
    <mergeCell ref="G17:H17"/>
    <mergeCell ref="B18:D18"/>
    <mergeCell ref="E18:F18"/>
    <mergeCell ref="G18:H18"/>
    <mergeCell ref="B8:D8"/>
    <mergeCell ref="B9:D9"/>
    <mergeCell ref="B10:D10"/>
    <mergeCell ref="B11:D11"/>
    <mergeCell ref="B12:D12"/>
    <mergeCell ref="B13:D13"/>
    <mergeCell ref="A4:A5"/>
    <mergeCell ref="B4:D5"/>
    <mergeCell ref="E4:F4"/>
    <mergeCell ref="G4:H4"/>
    <mergeCell ref="B6:D6"/>
    <mergeCell ref="B7:D7"/>
  </mergeCells>
  <printOptions horizontalCentered="1" verticalCentered="1"/>
  <pageMargins left="0.5" right="0.35" top="0" bottom="0" header="0.4" footer="0.3"/>
  <pageSetup horizontalDpi="600" verticalDpi="600" orientation="portrait" paperSize="9" scale="98" r:id="rId1"/>
  <headerFooter alignWithMargins="0">
    <oddFooter>&amp;L10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Manaljav</cp:lastModifiedBy>
  <cp:lastPrinted>2023-07-20T07:38:55Z</cp:lastPrinted>
  <dcterms:created xsi:type="dcterms:W3CDTF">2013-04-10T10:24:36Z</dcterms:created>
  <dcterms:modified xsi:type="dcterms:W3CDTF">2023-07-27T02:16:07Z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