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7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'Sheet1'!$A$1:$O$78</definedName>
  </definedNames>
  <calcPr calcId="152511"/>
</workbook>
</file>

<file path=xl/sharedStrings.xml><?xml version="1.0" encoding="utf-8"?>
<sst xmlns="http://schemas.openxmlformats.org/spreadsheetml/2006/main" count="228" uniqueCount="139">
  <si>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</si>
  <si>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</si>
  <si>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</si>
  <si>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</si>
  <si>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</si>
  <si>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</si>
  <si>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</si>
  <si>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</si>
  <si>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</si>
  <si>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</si>
  <si>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</si>
  <si>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</si>
  <si>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</si>
  <si>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</si>
  <si>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</si>
  <si>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</si>
  <si>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</si>
  <si>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</si>
  <si>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</si>
  <si>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</si>
  <si>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</si>
  <si>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</si>
  <si>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</si>
  <si>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</si>
  <si>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</si>
  <si>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</si>
  <si>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</si>
  <si>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</si>
  <si>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</si>
  <si>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</si>
  <si>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</si>
  <si>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</si>
  <si>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</si>
  <si>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</si>
  <si>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</si>
  <si>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</si>
  <si>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</si>
  <si>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</si>
  <si>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</si>
  <si>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</si>
  <si>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</si>
  <si>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</si>
  <si>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</si>
  <si>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</si>
  <si>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</si>
  <si>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</si>
  <si>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</si>
  <si>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</si>
  <si>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</si>
  <si>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</si>
  <si>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</si>
  <si>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</si>
  <si>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</si>
  <si>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</si>
  <si>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</si>
  <si>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</si>
  <si>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</si>
  <si>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</si>
  <si>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</si>
  <si>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</si>
  <si>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</si>
  <si>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</si>
  <si>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</si>
  <si>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</si>
  <si>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</si>
  <si>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</si>
  <si>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</si>
  <si>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</si>
  <si>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</si>
  <si>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</si>
  <si>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</si>
  <si>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</si>
  <si>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</si>
  <si>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</si>
  <si>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</si>
  <si>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</si>
  <si>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</si>
  <si>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</si>
  <si>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</si>
  <si>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</si>
  <si>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</si>
  <si>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</si>
  <si>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</si>
  <si>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</si>
  <si>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</si>
  <si>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</si>
  <si>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</si>
  <si>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</si>
  <si>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</si>
  <si>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</si>
  <si>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</si>
  <si>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</si>
  <si>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</si>
  <si>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</si>
  <si>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</si>
  <si>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</si>
  <si>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</si>
  <si>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</si>
  <si>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</si>
  <si>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</si>
  <si>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</si>
  <si>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</si>
  <si>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</si>
  <si>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</si>
  <si>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</si>
  <si>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</si>
  <si>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</si>
  <si>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</si>
  <si>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</si>
  <si>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</si>
  <si>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</si>
  <si>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</si>
  <si>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</si>
  <si>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</si>
  <si>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</si>
  <si>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</si>
  <si>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</si>
  <si>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</si>
  <si>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</si>
  <si>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</si>
  <si>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</si>
  <si>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</si>
  <si>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</si>
  <si>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</si>
  <si>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</si>
  <si>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</si>
  <si>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</si>
  <si>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</si>
  <si>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</si>
  <si>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</si>
  <si>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</si>
  <si>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</si>
  <si>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</si>
  <si>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</si>
  <si>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</si>
  <si>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</si>
  <si>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</si>
  <si>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8-р сарын арилжааны дүн</t>
  </si>
  <si>
    <t xml:space="preserve">2018 оны 08 дугаар сарын 31-ний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</si>
</sst>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2" fillId="4" borderId="1" xfId="18" applyFont="1" applyFill="1" applyBorder="1" applyAlignment="1">
      <alignment horizontal="center" vertical="center"/>
    </xf>
    <xf numFmtId="43" fontId="8" fillId="4" borderId="4" xfId="18" applyFont="1" applyFill="1" applyBorder="1" applyAlignment="1">
      <alignment horizontal="center" vertical="center"/>
    </xf>
    <xf numFmtId="9" fontId="8" fillId="4" borderId="4" xfId="15" applyFont="1" applyFill="1" applyBorder="1" applyAlignment="1">
      <alignment horizontal="center" vertical="center"/>
    </xf>
    <xf numFmtId="165" fontId="2" fillId="4" borderId="6" xfId="15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288125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7.62\Members\&#1040;&#1088;&#1080;&#1083;&#1078;&#1072;&#1072;&#1085;&#1099;%20&#1090;&#1072;&#1081;&#1083;&#1072;&#1085;\2018\Mnth180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7.62\Members\&#1040;&#1088;&#1080;&#1083;&#1078;&#1072;&#1072;&#1085;&#1099;%20&#1090;&#1072;&#1081;&#1083;&#1072;&#1085;\2018\Mnth180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4378</v>
          </cell>
          <cell r="G10">
            <v>3536562</v>
          </cell>
          <cell r="H10">
            <v>3536562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61</v>
          </cell>
          <cell r="E11">
            <v>528660</v>
          </cell>
          <cell r="F11">
            <v>166</v>
          </cell>
          <cell r="G11">
            <v>489720</v>
          </cell>
          <cell r="H11">
            <v>1018380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127467</v>
          </cell>
          <cell r="E12">
            <v>37182441</v>
          </cell>
          <cell r="F12">
            <v>58874</v>
          </cell>
          <cell r="G12">
            <v>81911772</v>
          </cell>
          <cell r="H12">
            <v>119094213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20</v>
          </cell>
          <cell r="E13">
            <v>169000</v>
          </cell>
          <cell r="F13">
            <v>2491</v>
          </cell>
          <cell r="G13">
            <v>1634700</v>
          </cell>
          <cell r="H13">
            <v>1803700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21000</v>
          </cell>
          <cell r="E14">
            <v>1534000</v>
          </cell>
          <cell r="F14">
            <v>125</v>
          </cell>
          <cell r="G14">
            <v>987550</v>
          </cell>
          <cell r="H14">
            <v>2521550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510297</v>
          </cell>
          <cell r="E16">
            <v>178067217</v>
          </cell>
          <cell r="F16">
            <v>299851</v>
          </cell>
          <cell r="G16">
            <v>112910069</v>
          </cell>
          <cell r="H16">
            <v>290977286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6379</v>
          </cell>
          <cell r="E19">
            <v>10428540</v>
          </cell>
          <cell r="F19">
            <v>51927</v>
          </cell>
          <cell r="G19">
            <v>16425635</v>
          </cell>
          <cell r="H19">
            <v>26854175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BSK</v>
          </cell>
          <cell r="C20" t="str">
            <v>BLUE SKY</v>
          </cell>
          <cell r="D20">
            <v>3155</v>
          </cell>
          <cell r="E20">
            <v>3819692</v>
          </cell>
          <cell r="F20">
            <v>25185</v>
          </cell>
          <cell r="G20">
            <v>1830355</v>
          </cell>
          <cell r="H20">
            <v>5650047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6762</v>
          </cell>
          <cell r="E21">
            <v>578489</v>
          </cell>
          <cell r="F21">
            <v>761</v>
          </cell>
          <cell r="G21">
            <v>1723334</v>
          </cell>
          <cell r="H21">
            <v>2301823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1210468</v>
          </cell>
          <cell r="E22">
            <v>205938884</v>
          </cell>
          <cell r="F22">
            <v>1506043</v>
          </cell>
          <cell r="G22">
            <v>267499469</v>
          </cell>
          <cell r="H22">
            <v>473438353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3181180</v>
          </cell>
          <cell r="E23">
            <v>265788324</v>
          </cell>
          <cell r="F23">
            <v>3365607</v>
          </cell>
          <cell r="G23">
            <v>257066520</v>
          </cell>
          <cell r="H23">
            <v>522854844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10716</v>
          </cell>
          <cell r="T23">
            <v>1133813800</v>
          </cell>
          <cell r="U23">
            <v>10716</v>
          </cell>
          <cell r="V23">
            <v>1133813800</v>
          </cell>
          <cell r="W23">
            <v>2267627600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70</v>
          </cell>
          <cell r="E26">
            <v>1540000</v>
          </cell>
          <cell r="F26">
            <v>4935</v>
          </cell>
          <cell r="G26">
            <v>26602035</v>
          </cell>
          <cell r="H26">
            <v>28142035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13673</v>
          </cell>
          <cell r="E28">
            <v>7593642</v>
          </cell>
          <cell r="F28">
            <v>25727</v>
          </cell>
          <cell r="G28">
            <v>9681109</v>
          </cell>
          <cell r="H28">
            <v>17274751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10115</v>
          </cell>
          <cell r="E29">
            <v>1692500</v>
          </cell>
          <cell r="F29">
            <v>32496</v>
          </cell>
          <cell r="G29">
            <v>5932750</v>
          </cell>
          <cell r="H29">
            <v>7625250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500</v>
          </cell>
          <cell r="E33">
            <v>314020</v>
          </cell>
          <cell r="F33">
            <v>1000</v>
          </cell>
          <cell r="G33">
            <v>625000</v>
          </cell>
          <cell r="H33">
            <v>939020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1250356</v>
          </cell>
          <cell r="E34">
            <v>232159519</v>
          </cell>
          <cell r="F34">
            <v>376329</v>
          </cell>
          <cell r="G34">
            <v>91773396</v>
          </cell>
          <cell r="H34">
            <v>323932915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7225</v>
          </cell>
          <cell r="E36">
            <v>6817588</v>
          </cell>
          <cell r="F36">
            <v>16440</v>
          </cell>
          <cell r="G36">
            <v>4889154</v>
          </cell>
          <cell r="H36">
            <v>11706742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1188370</v>
          </cell>
          <cell r="E37">
            <v>343547534</v>
          </cell>
          <cell r="F37">
            <v>1591536</v>
          </cell>
          <cell r="G37">
            <v>208933345</v>
          </cell>
          <cell r="H37">
            <v>552480879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697</v>
          </cell>
          <cell r="T37">
            <v>70730850</v>
          </cell>
          <cell r="U37">
            <v>697</v>
          </cell>
          <cell r="V37">
            <v>70730850</v>
          </cell>
          <cell r="W37">
            <v>141461700</v>
          </cell>
        </row>
        <row r="38">
          <cell r="B38" t="str">
            <v>GNDX</v>
          </cell>
          <cell r="C38" t="str">
            <v>Гендекс ХХК</v>
          </cell>
          <cell r="D38">
            <v>15</v>
          </cell>
          <cell r="E38">
            <v>124650</v>
          </cell>
          <cell r="F38">
            <v>33698</v>
          </cell>
          <cell r="G38">
            <v>19943621</v>
          </cell>
          <cell r="H38">
            <v>20068271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3205</v>
          </cell>
          <cell r="E40">
            <v>11996250</v>
          </cell>
          <cell r="F40">
            <v>17784</v>
          </cell>
          <cell r="G40">
            <v>4161140</v>
          </cell>
          <cell r="H40">
            <v>16157390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10216</v>
          </cell>
          <cell r="E42">
            <v>1724768</v>
          </cell>
          <cell r="F42">
            <v>37233</v>
          </cell>
          <cell r="G42">
            <v>2619986</v>
          </cell>
          <cell r="H42">
            <v>4344754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1292</v>
          </cell>
          <cell r="E43">
            <v>479397</v>
          </cell>
          <cell r="F43">
            <v>10179</v>
          </cell>
          <cell r="G43">
            <v>6343412</v>
          </cell>
          <cell r="H43">
            <v>6822809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349</v>
          </cell>
          <cell r="E44">
            <v>349000</v>
          </cell>
          <cell r="F44">
            <v>60064</v>
          </cell>
          <cell r="G44">
            <v>13163289</v>
          </cell>
          <cell r="H44">
            <v>13512289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6780</v>
          </cell>
          <cell r="E45">
            <v>493782</v>
          </cell>
          <cell r="F45">
            <v>0</v>
          </cell>
          <cell r="G45">
            <v>0</v>
          </cell>
          <cell r="H45">
            <v>493782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471040</v>
          </cell>
          <cell r="E46">
            <v>100522520</v>
          </cell>
          <cell r="F46">
            <v>240691</v>
          </cell>
          <cell r="G46">
            <v>72711344</v>
          </cell>
          <cell r="H46">
            <v>173233864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836</v>
          </cell>
          <cell r="E47">
            <v>5778150</v>
          </cell>
          <cell r="F47">
            <v>349265</v>
          </cell>
          <cell r="G47">
            <v>153915227</v>
          </cell>
          <cell r="H47">
            <v>159693377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6061</v>
          </cell>
          <cell r="E48">
            <v>899313</v>
          </cell>
          <cell r="F48">
            <v>16887</v>
          </cell>
          <cell r="G48">
            <v>3715943</v>
          </cell>
          <cell r="H48">
            <v>4615256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217069</v>
          </cell>
          <cell r="E49">
            <v>126133924</v>
          </cell>
          <cell r="F49">
            <v>132800</v>
          </cell>
          <cell r="G49">
            <v>86507385</v>
          </cell>
          <cell r="H49">
            <v>212641309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455311</v>
          </cell>
          <cell r="E51">
            <v>134235670</v>
          </cell>
          <cell r="F51">
            <v>175120</v>
          </cell>
          <cell r="G51">
            <v>58927791</v>
          </cell>
          <cell r="H51">
            <v>193163461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201</v>
          </cell>
          <cell r="T51">
            <v>21147210</v>
          </cell>
          <cell r="U51">
            <v>201</v>
          </cell>
          <cell r="V51">
            <v>21147210</v>
          </cell>
          <cell r="W51">
            <v>42294420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175</v>
          </cell>
          <cell r="E52">
            <v>1464500</v>
          </cell>
          <cell r="F52">
            <v>0</v>
          </cell>
          <cell r="G52">
            <v>0</v>
          </cell>
          <cell r="H52">
            <v>1464500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6217</v>
          </cell>
          <cell r="E54">
            <v>1021764</v>
          </cell>
          <cell r="F54">
            <v>120121</v>
          </cell>
          <cell r="G54">
            <v>78618100</v>
          </cell>
          <cell r="H54">
            <v>79639864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4990</v>
          </cell>
          <cell r="G55">
            <v>7984000</v>
          </cell>
          <cell r="H55">
            <v>7984000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3547</v>
          </cell>
          <cell r="E57">
            <v>6278502</v>
          </cell>
          <cell r="F57">
            <v>1000</v>
          </cell>
          <cell r="G57">
            <v>120666</v>
          </cell>
          <cell r="H57">
            <v>6399168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200252</v>
          </cell>
          <cell r="E58">
            <v>78477809</v>
          </cell>
          <cell r="F58">
            <v>752514</v>
          </cell>
          <cell r="G58">
            <v>161391307</v>
          </cell>
          <cell r="H58">
            <v>239869116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71</v>
          </cell>
          <cell r="E59">
            <v>1349000</v>
          </cell>
          <cell r="F59">
            <v>2708</v>
          </cell>
          <cell r="G59">
            <v>14229587</v>
          </cell>
          <cell r="H59">
            <v>15578587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2934</v>
          </cell>
          <cell r="E60">
            <v>2809472</v>
          </cell>
          <cell r="F60">
            <v>33386</v>
          </cell>
          <cell r="G60">
            <v>9256996</v>
          </cell>
          <cell r="H60">
            <v>12066468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1156554</v>
          </cell>
          <cell r="E61">
            <v>248604556</v>
          </cell>
          <cell r="F61">
            <v>590513</v>
          </cell>
          <cell r="G61">
            <v>158018340</v>
          </cell>
          <cell r="H61">
            <v>406622896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3533</v>
          </cell>
          <cell r="E62">
            <v>888540</v>
          </cell>
          <cell r="F62">
            <v>27496</v>
          </cell>
          <cell r="G62">
            <v>6810303</v>
          </cell>
          <cell r="H62">
            <v>7698843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58713</v>
          </cell>
          <cell r="E63">
            <v>23162559</v>
          </cell>
          <cell r="F63">
            <v>161548</v>
          </cell>
          <cell r="G63">
            <v>79121698</v>
          </cell>
          <cell r="H63">
            <v>102284257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114</v>
          </cell>
          <cell r="E64">
            <v>104690</v>
          </cell>
          <cell r="F64">
            <v>2691</v>
          </cell>
          <cell r="G64">
            <v>7715328</v>
          </cell>
          <cell r="H64">
            <v>7820018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15159</v>
          </cell>
          <cell r="E67">
            <v>6616529</v>
          </cell>
          <cell r="F67">
            <v>21982</v>
          </cell>
          <cell r="G67">
            <v>11487459</v>
          </cell>
          <cell r="H67">
            <v>18103988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162950</v>
          </cell>
          <cell r="G11">
            <v>71120900</v>
          </cell>
          <cell r="H11">
            <v>71120900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65912</v>
          </cell>
          <cell r="E12">
            <v>12296867.28</v>
          </cell>
          <cell r="F12">
            <v>158807</v>
          </cell>
          <cell r="G12">
            <v>67925046.56</v>
          </cell>
          <cell r="H12">
            <v>80221913.84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856</v>
          </cell>
          <cell r="G13">
            <v>1223632</v>
          </cell>
          <cell r="H13">
            <v>1223632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19708</v>
          </cell>
          <cell r="E14">
            <v>1228097</v>
          </cell>
          <cell r="F14">
            <v>73165</v>
          </cell>
          <cell r="G14">
            <v>6379855.5</v>
          </cell>
          <cell r="H14">
            <v>7607952.5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6206494</v>
          </cell>
          <cell r="E16">
            <v>1203041461</v>
          </cell>
          <cell r="F16">
            <v>5900721</v>
          </cell>
          <cell r="G16">
            <v>1163750608</v>
          </cell>
          <cell r="H16">
            <v>2366792069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36187</v>
          </cell>
          <cell r="E19">
            <v>14512505.5</v>
          </cell>
          <cell r="F19">
            <v>7916</v>
          </cell>
          <cell r="G19">
            <v>11794840</v>
          </cell>
          <cell r="H19">
            <v>26307345.5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BSK</v>
          </cell>
          <cell r="C20" t="str">
            <v>BLUE SKY</v>
          </cell>
          <cell r="D20">
            <v>5870</v>
          </cell>
          <cell r="E20">
            <v>3568416</v>
          </cell>
          <cell r="F20">
            <v>3776</v>
          </cell>
          <cell r="G20">
            <v>316500.07</v>
          </cell>
          <cell r="H20">
            <v>3884916.07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0</v>
          </cell>
          <cell r="E21">
            <v>0</v>
          </cell>
          <cell r="F21">
            <v>22226</v>
          </cell>
          <cell r="G21">
            <v>3196246</v>
          </cell>
          <cell r="H21">
            <v>3196246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849103</v>
          </cell>
          <cell r="E22">
            <v>125925755</v>
          </cell>
          <cell r="F22">
            <v>691881</v>
          </cell>
          <cell r="G22">
            <v>187047421.9</v>
          </cell>
          <cell r="H22">
            <v>312973176.9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5376472</v>
          </cell>
          <cell r="E23">
            <v>361549964.9</v>
          </cell>
          <cell r="F23">
            <v>5582141</v>
          </cell>
          <cell r="G23">
            <v>372842747.7</v>
          </cell>
          <cell r="H23">
            <v>734392712.5999999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20</v>
          </cell>
          <cell r="E26">
            <v>440000</v>
          </cell>
          <cell r="F26">
            <v>36202</v>
          </cell>
          <cell r="G26">
            <v>3219844.5</v>
          </cell>
          <cell r="H26">
            <v>3659844.5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10186</v>
          </cell>
          <cell r="E28">
            <v>6419587</v>
          </cell>
          <cell r="F28">
            <v>14525</v>
          </cell>
          <cell r="G28">
            <v>4900486</v>
          </cell>
          <cell r="H28">
            <v>11320073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40210</v>
          </cell>
          <cell r="E29">
            <v>6152201.6</v>
          </cell>
          <cell r="F29">
            <v>20469</v>
          </cell>
          <cell r="G29">
            <v>7924361.6</v>
          </cell>
          <cell r="H29">
            <v>14076563.2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896138</v>
          </cell>
          <cell r="E34">
            <v>172009371.5</v>
          </cell>
          <cell r="F34">
            <v>383636</v>
          </cell>
          <cell r="G34">
            <v>123954744.8</v>
          </cell>
          <cell r="H34">
            <v>295964116.3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66</v>
          </cell>
          <cell r="E36">
            <v>31225</v>
          </cell>
          <cell r="F36">
            <v>20842</v>
          </cell>
          <cell r="G36">
            <v>6916934.2</v>
          </cell>
          <cell r="H36">
            <v>6948159.2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1953542</v>
          </cell>
          <cell r="E37">
            <v>371653081.2</v>
          </cell>
          <cell r="F37">
            <v>1114614</v>
          </cell>
          <cell r="G37">
            <v>168854464.4</v>
          </cell>
          <cell r="H37">
            <v>540507545.6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4382</v>
          </cell>
          <cell r="E38">
            <v>15823620</v>
          </cell>
          <cell r="F38">
            <v>16266</v>
          </cell>
          <cell r="G38">
            <v>9539290</v>
          </cell>
          <cell r="H38">
            <v>25362910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40428</v>
          </cell>
          <cell r="E40">
            <v>30071760</v>
          </cell>
          <cell r="F40">
            <v>69749</v>
          </cell>
          <cell r="G40">
            <v>14436492</v>
          </cell>
          <cell r="H40">
            <v>44508252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35454</v>
          </cell>
          <cell r="E42">
            <v>2973607</v>
          </cell>
          <cell r="F42">
            <v>6400</v>
          </cell>
          <cell r="G42">
            <v>736000</v>
          </cell>
          <cell r="H42">
            <v>3709607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10037</v>
          </cell>
          <cell r="G43">
            <v>6509526.5</v>
          </cell>
          <cell r="H43">
            <v>6509526.5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3</v>
          </cell>
          <cell r="G44">
            <v>1845</v>
          </cell>
          <cell r="H44">
            <v>1845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6500</v>
          </cell>
          <cell r="E45">
            <v>481050</v>
          </cell>
          <cell r="F45">
            <v>0</v>
          </cell>
          <cell r="G45">
            <v>0</v>
          </cell>
          <cell r="H45">
            <v>481050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903974</v>
          </cell>
          <cell r="E46">
            <v>407148668.4</v>
          </cell>
          <cell r="F46">
            <v>556723</v>
          </cell>
          <cell r="G46">
            <v>337924185.3</v>
          </cell>
          <cell r="H46">
            <v>745072853.7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100</v>
          </cell>
          <cell r="E47">
            <v>40500</v>
          </cell>
          <cell r="F47">
            <v>165</v>
          </cell>
          <cell r="G47">
            <v>66500</v>
          </cell>
          <cell r="H47">
            <v>107000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9596</v>
          </cell>
          <cell r="E48">
            <v>672473</v>
          </cell>
          <cell r="F48">
            <v>3650</v>
          </cell>
          <cell r="G48">
            <v>1870358</v>
          </cell>
          <cell r="H48">
            <v>2542831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49932</v>
          </cell>
          <cell r="E49">
            <v>12582902.2</v>
          </cell>
          <cell r="F49">
            <v>42053</v>
          </cell>
          <cell r="G49">
            <v>22088650.2</v>
          </cell>
          <cell r="H49">
            <v>34671552.4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328696</v>
          </cell>
          <cell r="E51">
            <v>61607897.86</v>
          </cell>
          <cell r="F51">
            <v>631710</v>
          </cell>
          <cell r="G51">
            <v>90321703.31</v>
          </cell>
          <cell r="H51">
            <v>151929601.17000002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2981</v>
          </cell>
          <cell r="E52">
            <v>925250</v>
          </cell>
          <cell r="F52">
            <v>2419</v>
          </cell>
          <cell r="G52">
            <v>882940</v>
          </cell>
          <cell r="H52">
            <v>1808190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9366</v>
          </cell>
          <cell r="E54">
            <v>2054444</v>
          </cell>
          <cell r="F54">
            <v>23707</v>
          </cell>
          <cell r="G54">
            <v>15579372</v>
          </cell>
          <cell r="H54">
            <v>17633816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4547</v>
          </cell>
          <cell r="G55">
            <v>2682730</v>
          </cell>
          <cell r="H55">
            <v>2682730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13422</v>
          </cell>
          <cell r="E57">
            <v>1054595</v>
          </cell>
          <cell r="F57">
            <v>3462</v>
          </cell>
          <cell r="G57">
            <v>2215680</v>
          </cell>
          <cell r="H57">
            <v>3270275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192327</v>
          </cell>
          <cell r="E58">
            <v>90081537.47</v>
          </cell>
          <cell r="F58">
            <v>1233069</v>
          </cell>
          <cell r="G58">
            <v>121640755.1</v>
          </cell>
          <cell r="H58">
            <v>211722292.57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18586</v>
          </cell>
          <cell r="G59">
            <v>33574910</v>
          </cell>
          <cell r="H59">
            <v>33574910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3560</v>
          </cell>
          <cell r="E60">
            <v>732690</v>
          </cell>
          <cell r="F60">
            <v>5678</v>
          </cell>
          <cell r="G60">
            <v>8446060</v>
          </cell>
          <cell r="H60">
            <v>9178750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867023</v>
          </cell>
          <cell r="E61">
            <v>178936142</v>
          </cell>
          <cell r="F61">
            <v>1259030</v>
          </cell>
          <cell r="G61">
            <v>186577890.7</v>
          </cell>
          <cell r="H61">
            <v>365514032.7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191</v>
          </cell>
          <cell r="E62">
            <v>1596000</v>
          </cell>
          <cell r="F62">
            <v>880</v>
          </cell>
          <cell r="G62">
            <v>747250</v>
          </cell>
          <cell r="H62">
            <v>2343250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54467</v>
          </cell>
          <cell r="E63">
            <v>17971855.26</v>
          </cell>
          <cell r="F63">
            <v>73375</v>
          </cell>
          <cell r="G63">
            <v>63722364.43</v>
          </cell>
          <cell r="H63">
            <v>81694219.69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47</v>
          </cell>
          <cell r="E64">
            <v>38934</v>
          </cell>
          <cell r="F64">
            <v>9385</v>
          </cell>
          <cell r="G64">
            <v>10825987</v>
          </cell>
          <cell r="H64">
            <v>10864921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193583</v>
          </cell>
          <cell r="E67">
            <v>32207355.58</v>
          </cell>
          <cell r="F67">
            <v>10316</v>
          </cell>
          <cell r="G67">
            <v>4070692.2</v>
          </cell>
          <cell r="H67">
            <v>36278047.78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"МИРЭ ЭССЭТ СЕКЬЮРИТИС МОНГОЛ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734392712.5999999</v>
          </cell>
          <cell r="H16">
            <v>1864055300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2598448012.6</v>
          </cell>
          <cell r="N16">
            <v>43850638045.63999</v>
          </cell>
        </row>
        <row r="17">
          <cell r="B17" t="str">
            <v>NOVL</v>
          </cell>
          <cell r="C17" t="str">
            <v>"НОВЕЛ ИНВЕСТМЕНТ ҮЦК" ХХК</v>
          </cell>
          <cell r="D17" t="str">
            <v>●</v>
          </cell>
          <cell r="F17" t="str">
            <v>●</v>
          </cell>
          <cell r="G17">
            <v>151929601.17000002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151929601.17000002</v>
          </cell>
          <cell r="N17">
            <v>25759045638.26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2366792069</v>
          </cell>
          <cell r="H18">
            <v>206560000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2573352069</v>
          </cell>
          <cell r="N18">
            <v>23504232984.85</v>
          </cell>
        </row>
        <row r="19">
          <cell r="B19" t="str">
            <v>GAUL</v>
          </cell>
          <cell r="C19" t="str">
            <v>"ГАҮЛИ ҮЦК" ХХК</v>
          </cell>
          <cell r="D19" t="str">
            <v>●</v>
          </cell>
          <cell r="E19" t="str">
            <v>●</v>
          </cell>
          <cell r="G19">
            <v>295964116.3</v>
          </cell>
          <cell r="H19">
            <v>11200000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307164116.3</v>
          </cell>
          <cell r="N19">
            <v>17554412865.2</v>
          </cell>
        </row>
        <row r="20">
          <cell r="B20" t="str">
            <v>BUMB</v>
          </cell>
          <cell r="C20" t="str">
            <v>"БУМБАТ-АЛТАЙ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312973176.9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312973176.9</v>
          </cell>
          <cell r="N20">
            <v>12587858328.109999</v>
          </cell>
        </row>
        <row r="21">
          <cell r="B21" t="str">
            <v>DELG</v>
          </cell>
          <cell r="C21" t="str">
            <v>"ДЭЛГЭРХАНГАЙ СЕКЮРИТИЗ ҮЦК" ХХК</v>
          </cell>
          <cell r="D21" t="str">
            <v>●</v>
          </cell>
          <cell r="G21">
            <v>3659844.5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3659844.5</v>
          </cell>
          <cell r="N21">
            <v>7793812986.740001</v>
          </cell>
        </row>
        <row r="22">
          <cell r="B22" t="str">
            <v>GLMT</v>
          </cell>
          <cell r="C22" t="str">
            <v>"ГОЛОМТ КАПИТАЛ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540507545.6</v>
          </cell>
          <cell r="H22">
            <v>277939200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818446745.6</v>
          </cell>
          <cell r="N22">
            <v>7672590037.190001</v>
          </cell>
        </row>
        <row r="23">
          <cell r="B23" t="str">
            <v>TDB</v>
          </cell>
          <cell r="C23" t="str">
            <v>"ТИ ДИ БИ КАПИТАЛ ҮЦК" ХХК</v>
          </cell>
          <cell r="D23" t="str">
            <v>●</v>
          </cell>
          <cell r="E23" t="str">
            <v>●</v>
          </cell>
          <cell r="G23">
            <v>365514032.7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365514032.7</v>
          </cell>
          <cell r="N23">
            <v>4851904018.419999</v>
          </cell>
        </row>
        <row r="24">
          <cell r="B24" t="str">
            <v>STIN</v>
          </cell>
          <cell r="C24" t="str">
            <v>"СТАНДАРТ ИНВЕСТМЕНТ ҮЦК" ХХК</v>
          </cell>
          <cell r="D24" t="str">
            <v>●</v>
          </cell>
          <cell r="E24" t="str">
            <v>●</v>
          </cell>
          <cell r="F24" t="str">
            <v>●</v>
          </cell>
          <cell r="G24">
            <v>211722292.57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211722292.57</v>
          </cell>
          <cell r="N24">
            <v>4283785353.3399997</v>
          </cell>
        </row>
        <row r="25">
          <cell r="B25" t="str">
            <v>MNET</v>
          </cell>
          <cell r="C25" t="str">
            <v>"АРД СЕКЬЮРИТИЗ ҮЦК" ХХК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745072853.7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745072853.7</v>
          </cell>
          <cell r="N25">
            <v>3671861236.950001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G26">
            <v>80221913.84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80221913.84</v>
          </cell>
          <cell r="N26">
            <v>2563138678.6800003</v>
          </cell>
        </row>
        <row r="27">
          <cell r="B27" t="str">
            <v>BLMB</v>
          </cell>
          <cell r="C27" t="str">
            <v>"БЛҮМСБЮРИ СЕКЮРИТИЕС ҮЦК" ХХК </v>
          </cell>
          <cell r="D27" t="str">
            <v>●</v>
          </cell>
          <cell r="E27" t="str">
            <v>●</v>
          </cell>
          <cell r="G27">
            <v>26307345.5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26307345.5</v>
          </cell>
          <cell r="N27">
            <v>1287772803.5699997</v>
          </cell>
        </row>
        <row r="28">
          <cell r="B28" t="str">
            <v>BATS</v>
          </cell>
          <cell r="C28" t="str">
            <v>"БАТС ҮЦК" ХХК</v>
          </cell>
          <cell r="D28" t="str">
            <v>●</v>
          </cell>
          <cell r="G28">
            <v>7607952.5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7607952.5</v>
          </cell>
          <cell r="N28">
            <v>845834252.01</v>
          </cell>
        </row>
        <row r="29">
          <cell r="B29" t="str">
            <v>GNDX</v>
          </cell>
          <cell r="C29" t="str">
            <v>"ГЕНДЕКС ҮЦК" ХХК</v>
          </cell>
          <cell r="D29" t="str">
            <v>●</v>
          </cell>
          <cell r="G29">
            <v>25362910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25362910</v>
          </cell>
          <cell r="N29">
            <v>703321774.3399999</v>
          </cell>
        </row>
        <row r="30">
          <cell r="B30" t="str">
            <v>MSEC</v>
          </cell>
          <cell r="C30" t="str">
            <v>"МОНСЕК ҮЦК" ХХК</v>
          </cell>
          <cell r="D30" t="str">
            <v>●</v>
          </cell>
          <cell r="E30" t="str">
            <v>●</v>
          </cell>
          <cell r="G30">
            <v>34671552.4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34671552.4</v>
          </cell>
          <cell r="N30">
            <v>702557903.4</v>
          </cell>
        </row>
        <row r="31">
          <cell r="B31" t="str">
            <v>ECM</v>
          </cell>
          <cell r="C31" t="str">
            <v>"ЕВРАЗИА КАПИТАЛ ХОЛДИНГ ҮЦК" ХК</v>
          </cell>
          <cell r="D31" t="str">
            <v>●</v>
          </cell>
          <cell r="E31" t="str">
            <v>●</v>
          </cell>
          <cell r="F31" t="str">
            <v>●</v>
          </cell>
          <cell r="G31">
            <v>14076563.2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14076563.2</v>
          </cell>
          <cell r="N31">
            <v>634342677.77</v>
          </cell>
        </row>
        <row r="32">
          <cell r="B32" t="str">
            <v>TTOL</v>
          </cell>
          <cell r="C32" t="str">
            <v>"АПЕКС КАПИТАЛ ҮЦК" ХХК</v>
          </cell>
          <cell r="D32" t="str">
            <v>●</v>
          </cell>
          <cell r="G32">
            <v>81694219.69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81694219.69</v>
          </cell>
          <cell r="N32">
            <v>633540009.75</v>
          </cell>
        </row>
        <row r="33">
          <cell r="B33" t="str">
            <v>SANR</v>
          </cell>
          <cell r="C33" t="str">
            <v>"САНАР ҮЦК" ХХК</v>
          </cell>
          <cell r="D33" t="str">
            <v>●</v>
          </cell>
          <cell r="G33">
            <v>17633816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17633816</v>
          </cell>
          <cell r="N33">
            <v>576253991.7</v>
          </cell>
        </row>
        <row r="34">
          <cell r="B34" t="str">
            <v>TCHB</v>
          </cell>
          <cell r="C34" t="str">
            <v>"ТУЛГАТ ЧАНДМАНЬ БАЯН  ҮЦК" ХХК</v>
          </cell>
          <cell r="D34" t="str">
            <v>●</v>
          </cell>
          <cell r="G34">
            <v>9178750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9178750</v>
          </cell>
          <cell r="N34">
            <v>504820250.98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G35">
            <v>36278047.78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36278047.78</v>
          </cell>
          <cell r="N35">
            <v>501444898.46000004</v>
          </cell>
        </row>
        <row r="36">
          <cell r="B36" t="str">
            <v>LFTI</v>
          </cell>
          <cell r="C36" t="str">
            <v>"ЛАЙФТАЙМ ИНВЕСТМЕНТ ҮЦК" ХХК</v>
          </cell>
          <cell r="D36" t="str">
            <v>●</v>
          </cell>
          <cell r="E36" t="str">
            <v>●</v>
          </cell>
          <cell r="G36">
            <v>3709607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3709607</v>
          </cell>
          <cell r="N36">
            <v>430670672.31000006</v>
          </cell>
        </row>
        <row r="37">
          <cell r="B37" t="str">
            <v>TABO</v>
          </cell>
          <cell r="C37" t="str">
            <v>"ТАВАН БОГД ҮЦК" ХХК</v>
          </cell>
          <cell r="D37" t="str">
            <v>●</v>
          </cell>
          <cell r="G37">
            <v>33574910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33574910</v>
          </cell>
          <cell r="N37">
            <v>341003658.91999996</v>
          </cell>
        </row>
        <row r="38">
          <cell r="B38" t="str">
            <v>TNGR</v>
          </cell>
          <cell r="C38" t="str">
            <v>"ТЭНГЭР КАПИТАЛ  ҮЦК" ХХК</v>
          </cell>
          <cell r="D38" t="str">
            <v>●</v>
          </cell>
          <cell r="E38" t="str">
            <v>●</v>
          </cell>
          <cell r="F38" t="str">
            <v>●</v>
          </cell>
          <cell r="G38">
            <v>2343250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2343250</v>
          </cell>
          <cell r="N38">
            <v>312086473.32000005</v>
          </cell>
        </row>
        <row r="39">
          <cell r="B39" t="str">
            <v>DRBR</v>
          </cell>
          <cell r="C39" t="str">
            <v>"ДАРХАН БРОКЕР ҮЦК" ХХК</v>
          </cell>
          <cell r="D39" t="str">
            <v>●</v>
          </cell>
          <cell r="G39">
            <v>11320073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11320073</v>
          </cell>
          <cell r="N39">
            <v>306768568.84</v>
          </cell>
        </row>
        <row r="40">
          <cell r="B40" t="str">
            <v>GDEV</v>
          </cell>
          <cell r="C40" t="str">
            <v>"ГРАНДДЕВЕЛОПМЕНТ ҮЦК" ХХК</v>
          </cell>
          <cell r="D40" t="str">
            <v>●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300595821.88000005</v>
          </cell>
        </row>
        <row r="41">
          <cell r="B41" t="str">
            <v>MERG</v>
          </cell>
          <cell r="C41" t="str">
            <v>"МЭРГЭН САНАА ҮЦК" ХХК</v>
          </cell>
          <cell r="D41" t="str">
            <v>●</v>
          </cell>
          <cell r="G41">
            <v>6509526.5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6509526.5</v>
          </cell>
          <cell r="N41">
            <v>241190652.36</v>
          </cell>
        </row>
        <row r="42">
          <cell r="B42" t="str">
            <v>GDSC</v>
          </cell>
          <cell r="C42" t="str">
            <v>"ГҮҮДСЕК ҮЦК" ХХК</v>
          </cell>
          <cell r="D42" t="str">
            <v>●</v>
          </cell>
          <cell r="E42" t="str">
            <v>●</v>
          </cell>
          <cell r="F42" t="str">
            <v>●</v>
          </cell>
          <cell r="G42">
            <v>6948159.2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6948159.2</v>
          </cell>
          <cell r="N42">
            <v>240881713.57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G43">
            <v>44508252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44508252</v>
          </cell>
          <cell r="N43">
            <v>221773938.45999998</v>
          </cell>
        </row>
        <row r="44">
          <cell r="B44" t="str">
            <v>MIBG</v>
          </cell>
          <cell r="C44" t="str">
            <v>"ЭМ АЙ БИ ЖИ ХХК ҮЦК"</v>
          </cell>
          <cell r="D44" t="str">
            <v>●</v>
          </cell>
          <cell r="E44" t="str">
            <v>●</v>
          </cell>
          <cell r="G44">
            <v>1845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1845</v>
          </cell>
          <cell r="N44">
            <v>196620344.95</v>
          </cell>
        </row>
        <row r="45">
          <cell r="B45" t="str">
            <v>UNDR</v>
          </cell>
          <cell r="C45" t="str">
            <v>"ӨНДӨРХААН ИНВЕСТ ҮЦК" ХХК</v>
          </cell>
          <cell r="D45" t="str">
            <v>●</v>
          </cell>
          <cell r="G45">
            <v>10864921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10864921</v>
          </cell>
          <cell r="N45">
            <v>141750464.82999998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G46">
            <v>2542831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2542831</v>
          </cell>
          <cell r="N46">
            <v>120621484.14000002</v>
          </cell>
        </row>
        <row r="47">
          <cell r="B47" t="str">
            <v>BULG</v>
          </cell>
          <cell r="C47" t="str">
            <v>"БУЛГАН БРОКЕР ҮЦК" ХХК</v>
          </cell>
          <cell r="D47" t="str">
            <v>●</v>
          </cell>
          <cell r="G47">
            <v>3196246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3196246</v>
          </cell>
          <cell r="N47">
            <v>118148196.91</v>
          </cell>
        </row>
        <row r="48">
          <cell r="B48" t="str">
            <v>APS</v>
          </cell>
          <cell r="C48" t="str">
            <v>"АЗИА ПАСИФИК СЕКЬЮРИТИС ҮЦК" ХХК</v>
          </cell>
          <cell r="D48" t="str">
            <v>●</v>
          </cell>
          <cell r="G48">
            <v>71120900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71120900</v>
          </cell>
          <cell r="N48">
            <v>101589077.4</v>
          </cell>
        </row>
        <row r="49">
          <cell r="B49" t="str">
            <v>NSEC</v>
          </cell>
          <cell r="C49" t="str">
            <v>"НЭЙШНЛ СЕКЮРИТИС ҮЦК" ХХК</v>
          </cell>
          <cell r="D49" t="str">
            <v>●</v>
          </cell>
          <cell r="E49" t="str">
            <v>●</v>
          </cell>
          <cell r="F49" t="str">
            <v>●</v>
          </cell>
          <cell r="G49">
            <v>1808190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1808190</v>
          </cell>
          <cell r="N49">
            <v>77441983.77</v>
          </cell>
        </row>
        <row r="50">
          <cell r="B50" t="str">
            <v>ALTN</v>
          </cell>
          <cell r="C50" t="str">
            <v>"АЛТАН ХОРОМСОГ ҮЦК" ХХК</v>
          </cell>
          <cell r="D50" t="str">
            <v>●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72232041.72</v>
          </cell>
        </row>
        <row r="51">
          <cell r="B51" t="str">
            <v>BSK</v>
          </cell>
          <cell r="C51" t="str">
            <v>"БЛЮСКАЙ СЕКЬЮРИТИЗ ҮЦК" ХК</v>
          </cell>
          <cell r="D51" t="str">
            <v>●</v>
          </cell>
          <cell r="G51">
            <v>3884916.07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3884916.07</v>
          </cell>
          <cell r="N51">
            <v>71943774.23999998</v>
          </cell>
        </row>
        <row r="52">
          <cell r="B52" t="str">
            <v>MICC</v>
          </cell>
          <cell r="C52" t="str">
            <v>"ЭМ АЙ СИ СИ  ҮЦК" ХХК</v>
          </cell>
          <cell r="D52" t="str">
            <v>●</v>
          </cell>
          <cell r="E52" t="str">
            <v>●</v>
          </cell>
          <cell r="G52">
            <v>481050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481050</v>
          </cell>
          <cell r="N52">
            <v>62158762.97</v>
          </cell>
        </row>
        <row r="53">
          <cell r="B53" t="str">
            <v>BLAC</v>
          </cell>
          <cell r="C53" t="str">
            <v>"БЛЭКСТОУН ИНТЕРНЭЙШНЛ ҮЦК" ХХК</v>
          </cell>
          <cell r="D53" t="str">
            <v>●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51296804.12</v>
          </cell>
        </row>
        <row r="54">
          <cell r="B54" t="str">
            <v>SECP</v>
          </cell>
          <cell r="C54" t="str">
            <v>"СИКАП  ҮЦК" ХХК</v>
          </cell>
          <cell r="D54" t="str">
            <v>●</v>
          </cell>
          <cell r="E54" t="str">
            <v>●</v>
          </cell>
          <cell r="G54">
            <v>2682730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2682730</v>
          </cell>
          <cell r="N54">
            <v>48444360.419999994</v>
          </cell>
        </row>
        <row r="55">
          <cell r="B55" t="str">
            <v>GATR</v>
          </cell>
          <cell r="C55" t="str">
            <v>"ГАЦУУРТ ТРЕЙД ҮЦК" ХХК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43987815.03</v>
          </cell>
        </row>
        <row r="56">
          <cell r="B56" t="str">
            <v>ARGB</v>
          </cell>
          <cell r="C56" t="str">
            <v>"АРГАЙ БЭСТ ҮЦК" ХХК</v>
          </cell>
          <cell r="D56" t="str">
            <v>●</v>
          </cell>
          <cell r="G56">
            <v>1223632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1223632</v>
          </cell>
          <cell r="N56">
            <v>12949582.5</v>
          </cell>
        </row>
        <row r="57">
          <cell r="B57" t="str">
            <v>MONG</v>
          </cell>
          <cell r="C57" t="str">
            <v>"МОНГОЛ СЕКЮРИТИЕС ҮЦК" ХК</v>
          </cell>
          <cell r="D57" t="str">
            <v>●</v>
          </cell>
          <cell r="G57">
            <v>107000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107000</v>
          </cell>
          <cell r="N57">
            <v>12217185</v>
          </cell>
        </row>
        <row r="58">
          <cell r="B58" t="str">
            <v>SILS</v>
          </cell>
          <cell r="C58" t="str">
            <v>"СИЛВЭР ЛАЙТ СЕКЮРИТИЙЗ ҮЦК" ХХК</v>
          </cell>
          <cell r="D58" t="str">
            <v>●</v>
          </cell>
          <cell r="G58">
            <v>3270275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3270275</v>
          </cell>
          <cell r="N58">
            <v>6259955</v>
          </cell>
        </row>
        <row r="59">
          <cell r="B59" t="str">
            <v>FCX</v>
          </cell>
          <cell r="C59" t="str">
            <v>"ЭФ СИ ИКС ҮЦК" ХХК</v>
          </cell>
          <cell r="D59" t="str">
            <v>●</v>
          </cell>
          <cell r="E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3788300</v>
          </cell>
        </row>
        <row r="60">
          <cell r="B60" t="str">
            <v>CAPM</v>
          </cell>
          <cell r="C60" t="str">
            <v>"КАПИТАЛ МАРКЕТ КОРПОРАЦИ ҮЦК" ХХК</v>
          </cell>
          <cell r="D60" t="str">
            <v>●</v>
          </cell>
          <cell r="E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 t="str">
            <v>ZGB</v>
          </cell>
          <cell r="C61" t="str">
            <v>"ЗЭТ ЖИ БИ ҮЦК"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 t="str">
            <v>ACE</v>
          </cell>
          <cell r="C62" t="str">
            <v>"АСЕ ЭНД Т КАПИТАЛ ҮЦК" ХХК</v>
          </cell>
          <cell r="D62" t="str">
            <v>●</v>
          </cell>
          <cell r="E62" t="str">
            <v>●</v>
          </cell>
          <cell r="F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SGC</v>
          </cell>
          <cell r="C63" t="str">
            <v>"ЭС ЖИ КАПИТАЛ ҮЦК" ХХК</v>
          </cell>
          <cell r="D63" t="str">
            <v>●</v>
          </cell>
          <cell r="E63" t="str">
            <v>●</v>
          </cell>
          <cell r="F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FRON</v>
          </cell>
          <cell r="C64" t="str">
            <v>"ФРОНТИЕР ҮЦК"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DCF</v>
          </cell>
          <cell r="C65" t="str">
            <v>ДИ СИ ЭФ ХХК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DGSN</v>
          </cell>
          <cell r="C66" t="str">
            <v>ДОГСОН ХХК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ITR</v>
          </cell>
          <cell r="C67" t="str">
            <v>АЙ ТРЕЙД ХХК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BKHE</v>
          </cell>
          <cell r="C68" t="str">
            <v>БАГА ХЭЭР ХХК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BBSS</v>
          </cell>
          <cell r="C69" t="str">
            <v>БИ БИ ЭС ЭС ХХК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B70" t="str">
            <v>FINL</v>
          </cell>
          <cell r="C70" t="str">
            <v>ФИНАНС ЛИНК ГРУПП ХХК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GNN</v>
          </cell>
          <cell r="C71" t="str">
            <v>ГОВИЙН НОЁН НУРУУ ХХК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B72" t="str">
            <v>MWTS</v>
          </cell>
          <cell r="C72" t="str">
            <v>"ЭМ ДАБЛЬЮ ТИ ЭС ҮЦК" ХХК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B73" t="str">
            <v>PREV</v>
          </cell>
          <cell r="C73" t="str">
            <v>ПРЕВАЛЕНТ ХХК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B74" t="str">
            <v>ZEUS</v>
          </cell>
          <cell r="C74" t="str">
            <v>ЗЮС КАПИТАЛ ХХК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tabSelected="1" view="pageBreakPreview" zoomScale="70" zoomScaleSheetLayoutView="70" workbookViewId="0" topLeftCell="A1">
      <pane xSplit="3" ySplit="15" topLeftCell="H66" activePane="bottomRight" state="frozen"/>
      <selection pane="topRight" activeCell="D1" sqref="D1"/>
      <selection pane="bottomLeft" activeCell="A16" sqref="A16"/>
      <selection pane="bottomRight" activeCell="N77" sqref="N77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0.421875" style="1" customWidth="1"/>
    <col min="11" max="11" width="13.7109375" style="1" customWidth="1"/>
    <col min="12" max="12" width="19.7109375" style="1" customWidth="1"/>
    <col min="13" max="13" width="22.421875" style="1" bestFit="1" customWidth="1"/>
    <col min="14" max="14" width="25.421875" style="1" customWidth="1"/>
    <col min="15" max="15" width="16.710937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4"/>
    </row>
    <row r="2" ht="15">
      <c r="P2" s="24"/>
    </row>
    <row r="3" ht="15">
      <c r="P3" s="24"/>
    </row>
    <row r="4" ht="15">
      <c r="P4" s="24"/>
    </row>
    <row r="5" ht="15">
      <c r="P5" s="24"/>
    </row>
    <row r="6" ht="13.9" customHeight="1">
      <c r="P6" s="24"/>
    </row>
    <row r="7" spans="10:16" ht="15.75">
      <c r="J7" s="5"/>
      <c r="K7" s="5"/>
      <c r="L7" s="5"/>
      <c r="P7" s="24"/>
    </row>
    <row r="8" spans="8:16" ht="15.75">
      <c r="H8" s="6"/>
      <c r="I8" s="6"/>
      <c r="J8" s="7"/>
      <c r="K8" s="7"/>
      <c r="L8" s="7"/>
      <c r="M8" s="7"/>
      <c r="P8" s="24"/>
    </row>
    <row r="9" spans="2:16" ht="15" customHeight="1">
      <c r="B9" s="8"/>
      <c r="C9" s="9"/>
      <c r="D9" s="51" t="s">
        <v>0</v>
      </c>
      <c r="E9" s="51"/>
      <c r="F9" s="51"/>
      <c r="G9" s="51"/>
      <c r="H9" s="51"/>
      <c r="I9" s="51"/>
      <c r="J9" s="51"/>
      <c r="K9" s="51"/>
      <c r="L9" s="51"/>
      <c r="M9" s="9"/>
      <c r="N9" s="9"/>
      <c r="O9" s="9"/>
      <c r="P9" s="24"/>
    </row>
    <row r="10" ht="15.75">
      <c r="P10" s="24"/>
    </row>
    <row r="11" spans="12:16" ht="15" customHeight="1" thickBot="1">
      <c r="L11" s="52" t="s">
        <v>138</v>
      </c>
      <c r="M11" s="52"/>
      <c r="N11" s="52"/>
      <c r="O11" s="52"/>
      <c r="P11" s="24"/>
    </row>
    <row r="12" spans="1:16" ht="14.45" customHeight="1">
      <c r="A12" s="53" t="s">
        <v>1</v>
      </c>
      <c r="B12" s="55" t="s">
        <v>2</v>
      </c>
      <c r="C12" s="55" t="s">
        <v>3</v>
      </c>
      <c r="D12" s="55" t="s">
        <v>4</v>
      </c>
      <c r="E12" s="55"/>
      <c r="F12" s="55"/>
      <c r="G12" s="57" t="s">
        <v>137</v>
      </c>
      <c r="H12" s="57"/>
      <c r="I12" s="57"/>
      <c r="J12" s="57"/>
      <c r="K12" s="57"/>
      <c r="L12" s="57"/>
      <c r="M12" s="57"/>
      <c r="N12" s="59" t="s">
        <v>130</v>
      </c>
      <c r="O12" s="60"/>
      <c r="P12" s="24"/>
    </row>
    <row r="13" spans="1:17" s="8" customFormat="1" ht="15.75" customHeight="1">
      <c r="A13" s="54"/>
      <c r="B13" s="56"/>
      <c r="C13" s="56"/>
      <c r="D13" s="56"/>
      <c r="E13" s="56"/>
      <c r="F13" s="56"/>
      <c r="G13" s="58"/>
      <c r="H13" s="58"/>
      <c r="I13" s="58"/>
      <c r="J13" s="58"/>
      <c r="K13" s="58"/>
      <c r="L13" s="58"/>
      <c r="M13" s="58"/>
      <c r="N13" s="61"/>
      <c r="O13" s="62"/>
      <c r="P13" s="35"/>
      <c r="Q13" s="10"/>
    </row>
    <row r="14" spans="1:17" s="8" customFormat="1" ht="33.75" customHeight="1">
      <c r="A14" s="54"/>
      <c r="B14" s="56"/>
      <c r="C14" s="56"/>
      <c r="D14" s="56"/>
      <c r="E14" s="56"/>
      <c r="F14" s="56"/>
      <c r="G14" s="41" t="s">
        <v>5</v>
      </c>
      <c r="H14" s="42"/>
      <c r="I14" s="43"/>
      <c r="J14" s="41" t="s">
        <v>132</v>
      </c>
      <c r="K14" s="42"/>
      <c r="L14" s="43"/>
      <c r="M14" s="39" t="s">
        <v>6</v>
      </c>
      <c r="N14" s="44" t="s">
        <v>7</v>
      </c>
      <c r="O14" s="46" t="s">
        <v>8</v>
      </c>
      <c r="P14" s="35"/>
      <c r="Q14" s="10"/>
    </row>
    <row r="15" spans="1:17" s="8" customFormat="1" ht="55.9" customHeight="1">
      <c r="A15" s="54"/>
      <c r="B15" s="56"/>
      <c r="C15" s="56"/>
      <c r="D15" s="30" t="s">
        <v>9</v>
      </c>
      <c r="E15" s="30" t="s">
        <v>10</v>
      </c>
      <c r="F15" s="30" t="s">
        <v>11</v>
      </c>
      <c r="G15" s="28" t="s">
        <v>133</v>
      </c>
      <c r="H15" s="11" t="s">
        <v>129</v>
      </c>
      <c r="I15" s="28" t="s">
        <v>131</v>
      </c>
      <c r="J15" s="28" t="s">
        <v>133</v>
      </c>
      <c r="K15" s="28" t="s">
        <v>129</v>
      </c>
      <c r="L15" s="28" t="s">
        <v>131</v>
      </c>
      <c r="M15" s="40"/>
      <c r="N15" s="45"/>
      <c r="O15" s="47"/>
      <c r="P15" s="35"/>
      <c r="Q15" s="10"/>
    </row>
    <row r="16" spans="1:16" ht="15">
      <c r="A16" s="12">
        <v>1</v>
      </c>
      <c r="B16" s="13" t="s">
        <v>21</v>
      </c>
      <c r="C16" s="14" t="s">
        <v>22</v>
      </c>
      <c r="D16" s="15" t="s">
        <v>14</v>
      </c>
      <c r="E16" s="16" t="s">
        <v>14</v>
      </c>
      <c r="F16" s="16" t="s">
        <v>14</v>
      </c>
      <c r="G16" s="17">
        <f>VLOOKUP(B16,'[1]Brokers'!$B$9:$H$67,7,0)</f>
        <v>522854844</v>
      </c>
      <c r="H16" s="17">
        <f>VLOOKUP(B16,'[1]Brokers'!$B$9:$W$67,22,0)</f>
        <v>2267627600</v>
      </c>
      <c r="I16" s="17">
        <f>VLOOKUP(B16,'[2]Brokers'!$B$9:$R$67,17,0)</f>
        <v>0</v>
      </c>
      <c r="J16" s="17">
        <f>VLOOKUP(B16,'[2]Brokers'!$B$9:$M$67,12,0)</f>
        <v>0</v>
      </c>
      <c r="K16" s="17">
        <v>0</v>
      </c>
      <c r="L16" s="17">
        <v>0</v>
      </c>
      <c r="M16" s="18">
        <f aca="true" t="shared" si="0" ref="M16:M47">L16+I16+J16+H16+G16</f>
        <v>2790482444</v>
      </c>
      <c r="N16" s="31">
        <f>(VLOOKUP(B16,'[3]Sheet1'!$B$16:$N$74,13,0))+2790482444</f>
        <v>46641120489.63999</v>
      </c>
      <c r="O16" s="34">
        <f aca="true" t="shared" si="1" ref="O16:O47">N16/$N$75</f>
        <v>0.27343723672777115</v>
      </c>
      <c r="P16" s="36"/>
    </row>
    <row r="17" spans="1:16" ht="15">
      <c r="A17" s="12">
        <v>2</v>
      </c>
      <c r="B17" s="13" t="s">
        <v>15</v>
      </c>
      <c r="C17" s="14" t="s">
        <v>16</v>
      </c>
      <c r="D17" s="15" t="s">
        <v>14</v>
      </c>
      <c r="E17" s="16"/>
      <c r="F17" s="16" t="s">
        <v>14</v>
      </c>
      <c r="G17" s="17">
        <f>VLOOKUP(B17,'[1]Brokers'!$B$9:$H$67,7,0)</f>
        <v>193163461</v>
      </c>
      <c r="H17" s="17">
        <f>VLOOKUP(B17,'[1]Brokers'!$B$9:$W$67,22,0)</f>
        <v>42294420</v>
      </c>
      <c r="I17" s="17">
        <f>VLOOKUP(B17,'[2]Brokers'!$B$9:$R$67,17,0)</f>
        <v>0</v>
      </c>
      <c r="J17" s="17">
        <f>VLOOKUP(B17,'[2]Brokers'!$B$9:$M$67,12,0)</f>
        <v>0</v>
      </c>
      <c r="K17" s="17">
        <v>0</v>
      </c>
      <c r="L17" s="17">
        <v>0</v>
      </c>
      <c r="M17" s="18">
        <f t="shared" si="0"/>
        <v>235457881</v>
      </c>
      <c r="N17" s="31">
        <f>(VLOOKUP(B17,'[3]Sheet1'!$B$16:$N$74,13,0))+235457881</f>
        <v>25994503519.26</v>
      </c>
      <c r="O17" s="34">
        <f t="shared" si="1"/>
        <v>0.1523948210891629</v>
      </c>
      <c r="P17" s="36"/>
    </row>
    <row r="18" spans="1:16" ht="15">
      <c r="A18" s="12">
        <v>3</v>
      </c>
      <c r="B18" s="13" t="s">
        <v>12</v>
      </c>
      <c r="C18" s="14" t="s">
        <v>13</v>
      </c>
      <c r="D18" s="15" t="s">
        <v>14</v>
      </c>
      <c r="E18" s="16" t="s">
        <v>14</v>
      </c>
      <c r="F18" s="16" t="s">
        <v>14</v>
      </c>
      <c r="G18" s="17">
        <f>VLOOKUP(B18,'[1]Brokers'!$B$9:$H$67,7,0)</f>
        <v>290977286</v>
      </c>
      <c r="H18" s="17">
        <f>VLOOKUP(B18,'[1]Brokers'!$B$9:$W$67,22,0)</f>
        <v>0</v>
      </c>
      <c r="I18" s="17">
        <f>VLOOKUP(B18,'[2]Brokers'!$B$9:$R$67,17,0)</f>
        <v>0</v>
      </c>
      <c r="J18" s="17">
        <f>VLOOKUP(B18,'[2]Brokers'!$B$9:$M$67,12,0)</f>
        <v>0</v>
      </c>
      <c r="K18" s="17">
        <v>0</v>
      </c>
      <c r="L18" s="17">
        <v>0</v>
      </c>
      <c r="M18" s="18">
        <f t="shared" si="0"/>
        <v>290977286</v>
      </c>
      <c r="N18" s="31">
        <f>(VLOOKUP(B18,'[3]Sheet1'!$B$16:$N$74,13,0))+290977286</f>
        <v>23795210270.85</v>
      </c>
      <c r="O18" s="34">
        <f t="shared" si="1"/>
        <v>0.13950129146795986</v>
      </c>
      <c r="P18" s="36"/>
    </row>
    <row r="19" spans="1:16" ht="15">
      <c r="A19" s="12">
        <v>4</v>
      </c>
      <c r="B19" s="13" t="s">
        <v>31</v>
      </c>
      <c r="C19" s="14" t="s">
        <v>32</v>
      </c>
      <c r="D19" s="15" t="s">
        <v>14</v>
      </c>
      <c r="E19" s="16" t="s">
        <v>14</v>
      </c>
      <c r="F19" s="16"/>
      <c r="G19" s="17">
        <f>VLOOKUP(B19,'[1]Brokers'!$B$9:$H$67,7,0)</f>
        <v>323932915</v>
      </c>
      <c r="H19" s="17">
        <f>VLOOKUP(B19,'[1]Brokers'!$B$9:$W$67,22,0)</f>
        <v>0</v>
      </c>
      <c r="I19" s="17">
        <f>VLOOKUP(B19,'[2]Brokers'!$B$9:$R$67,17,0)</f>
        <v>0</v>
      </c>
      <c r="J19" s="17">
        <f>VLOOKUP(B19,'[2]Brokers'!$B$9:$M$67,12,0)</f>
        <v>0</v>
      </c>
      <c r="K19" s="17">
        <v>0</v>
      </c>
      <c r="L19" s="17">
        <v>0</v>
      </c>
      <c r="M19" s="18">
        <f t="shared" si="0"/>
        <v>323932915</v>
      </c>
      <c r="N19" s="31">
        <f>(VLOOKUP(B19,'[3]Sheet1'!$B$16:$N$74,13,0))+323932915</f>
        <v>17878345780.2</v>
      </c>
      <c r="O19" s="34">
        <f t="shared" si="1"/>
        <v>0.10481320808935887</v>
      </c>
      <c r="P19" s="36"/>
    </row>
    <row r="20" spans="1:16" ht="15">
      <c r="A20" s="12">
        <v>5</v>
      </c>
      <c r="B20" s="13" t="s">
        <v>41</v>
      </c>
      <c r="C20" s="14" t="s">
        <v>42</v>
      </c>
      <c r="D20" s="15" t="s">
        <v>14</v>
      </c>
      <c r="E20" s="15" t="s">
        <v>14</v>
      </c>
      <c r="F20" s="16" t="s">
        <v>14</v>
      </c>
      <c r="G20" s="17">
        <f>VLOOKUP(B20,'[1]Brokers'!$B$9:$H$67,7,0)</f>
        <v>473438353</v>
      </c>
      <c r="H20" s="17">
        <f>VLOOKUP(B20,'[1]Brokers'!$B$9:$W$67,22,0)</f>
        <v>0</v>
      </c>
      <c r="I20" s="17">
        <f>VLOOKUP(B20,'[2]Brokers'!$B$9:$R$67,17,0)</f>
        <v>0</v>
      </c>
      <c r="J20" s="17">
        <f>VLOOKUP(B20,'[2]Brokers'!$B$9:$M$67,12,0)</f>
        <v>0</v>
      </c>
      <c r="K20" s="17">
        <v>0</v>
      </c>
      <c r="L20" s="17">
        <v>0</v>
      </c>
      <c r="M20" s="18">
        <f t="shared" si="0"/>
        <v>473438353</v>
      </c>
      <c r="N20" s="31">
        <f>(VLOOKUP(B20,'[3]Sheet1'!$B$16:$N$74,13,0))+473438353</f>
        <v>13061296681.109999</v>
      </c>
      <c r="O20" s="34">
        <f t="shared" si="1"/>
        <v>0.07657287893324995</v>
      </c>
      <c r="P20" s="36"/>
    </row>
    <row r="21" spans="1:17" s="29" customFormat="1" ht="15">
      <c r="A21" s="12">
        <v>6</v>
      </c>
      <c r="B21" s="13" t="s">
        <v>45</v>
      </c>
      <c r="C21" s="14" t="s">
        <v>46</v>
      </c>
      <c r="D21" s="15" t="s">
        <v>14</v>
      </c>
      <c r="E21" s="16"/>
      <c r="F21" s="16"/>
      <c r="G21" s="17">
        <f>VLOOKUP(B21,'[1]Brokers'!$B$9:$H$67,7,0)</f>
        <v>28142035</v>
      </c>
      <c r="H21" s="17">
        <f>VLOOKUP(B21,'[1]Brokers'!$B$9:$W$67,22,0)</f>
        <v>0</v>
      </c>
      <c r="I21" s="17">
        <f>VLOOKUP(B21,'[2]Brokers'!$B$9:$R$67,17,0)</f>
        <v>0</v>
      </c>
      <c r="J21" s="17">
        <f>VLOOKUP(B21,'[2]Brokers'!$B$9:$M$67,12,0)</f>
        <v>0</v>
      </c>
      <c r="K21" s="17">
        <v>0</v>
      </c>
      <c r="L21" s="17">
        <v>0</v>
      </c>
      <c r="M21" s="18">
        <f t="shared" si="0"/>
        <v>28142035</v>
      </c>
      <c r="N21" s="31">
        <f>(VLOOKUP(B21,'[3]Sheet1'!$B$16:$N$74,13,0))+28142035</f>
        <v>7821955021.740001</v>
      </c>
      <c r="O21" s="34">
        <f t="shared" si="1"/>
        <v>0.04585682643341676</v>
      </c>
      <c r="P21" s="36"/>
      <c r="Q21" s="10"/>
    </row>
    <row r="22" spans="1:16" ht="15">
      <c r="A22" s="12">
        <v>7</v>
      </c>
      <c r="B22" s="13" t="s">
        <v>19</v>
      </c>
      <c r="C22" s="14" t="s">
        <v>20</v>
      </c>
      <c r="D22" s="15" t="s">
        <v>14</v>
      </c>
      <c r="E22" s="16" t="s">
        <v>14</v>
      </c>
      <c r="F22" s="16" t="s">
        <v>14</v>
      </c>
      <c r="G22" s="17">
        <f>VLOOKUP(B22,'[1]Brokers'!$B$9:$H$67,7,0)</f>
        <v>552480879</v>
      </c>
      <c r="H22" s="17">
        <f>VLOOKUP(B22,'[1]Brokers'!$B$9:$W$67,22,0)</f>
        <v>141461700</v>
      </c>
      <c r="I22" s="17">
        <f>VLOOKUP(B22,'[2]Brokers'!$B$9:$R$67,17,0)</f>
        <v>0</v>
      </c>
      <c r="J22" s="17">
        <f>VLOOKUP(B22,'[2]Brokers'!$B$9:$M$67,12,0)</f>
        <v>0</v>
      </c>
      <c r="K22" s="17">
        <v>0</v>
      </c>
      <c r="L22" s="17">
        <v>0</v>
      </c>
      <c r="M22" s="18">
        <f t="shared" si="0"/>
        <v>693942579</v>
      </c>
      <c r="N22" s="31">
        <f>(VLOOKUP(B22,'[3]Sheet1'!$B$16:$N$74,13,0))+693942579</f>
        <v>8366532616.190001</v>
      </c>
      <c r="O22" s="34">
        <f t="shared" si="1"/>
        <v>0.049049455406456555</v>
      </c>
      <c r="P22" s="36"/>
    </row>
    <row r="23" spans="1:16" ht="15">
      <c r="A23" s="12">
        <v>8</v>
      </c>
      <c r="B23" s="13" t="s">
        <v>25</v>
      </c>
      <c r="C23" s="14" t="s">
        <v>26</v>
      </c>
      <c r="D23" s="15" t="s">
        <v>14</v>
      </c>
      <c r="E23" s="16" t="s">
        <v>14</v>
      </c>
      <c r="F23" s="16"/>
      <c r="G23" s="17">
        <f>VLOOKUP(B23,'[1]Brokers'!$B$9:$H$67,7,0)</f>
        <v>406622896</v>
      </c>
      <c r="H23" s="17">
        <f>VLOOKUP(B23,'[1]Brokers'!$B$9:$W$67,22,0)</f>
        <v>0</v>
      </c>
      <c r="I23" s="17">
        <f>VLOOKUP(B23,'[2]Brokers'!$B$9:$R$67,17,0)</f>
        <v>0</v>
      </c>
      <c r="J23" s="17">
        <f>VLOOKUP(B23,'[2]Brokers'!$B$9:$M$67,12,0)</f>
        <v>0</v>
      </c>
      <c r="K23" s="17">
        <v>0</v>
      </c>
      <c r="L23" s="17">
        <v>0</v>
      </c>
      <c r="M23" s="18">
        <f t="shared" si="0"/>
        <v>406622896</v>
      </c>
      <c r="N23" s="31">
        <f>(VLOOKUP(B23,'[3]Sheet1'!$B$16:$N$74,13,0))+406622896</f>
        <v>5258526914.419999</v>
      </c>
      <c r="O23" s="34">
        <f t="shared" si="1"/>
        <v>0.03082852756629209</v>
      </c>
      <c r="P23" s="36"/>
    </row>
    <row r="24" spans="1:16" ht="15">
      <c r="A24" s="12">
        <v>9</v>
      </c>
      <c r="B24" s="13" t="s">
        <v>27</v>
      </c>
      <c r="C24" s="14" t="s">
        <v>28</v>
      </c>
      <c r="D24" s="15" t="s">
        <v>14</v>
      </c>
      <c r="E24" s="16" t="s">
        <v>14</v>
      </c>
      <c r="F24" s="16" t="s">
        <v>14</v>
      </c>
      <c r="G24" s="17">
        <f>VLOOKUP(B24,'[1]Brokers'!$B$9:$H$67,7,0)</f>
        <v>239869116</v>
      </c>
      <c r="H24" s="17">
        <f>VLOOKUP(B24,'[1]Brokers'!$B$9:$W$67,22,0)</f>
        <v>0</v>
      </c>
      <c r="I24" s="17">
        <f>VLOOKUP(B24,'[2]Brokers'!$B$9:$R$67,17,0)</f>
        <v>0</v>
      </c>
      <c r="J24" s="17">
        <f>VLOOKUP(B24,'[2]Brokers'!$B$9:$M$67,12,0)</f>
        <v>0</v>
      </c>
      <c r="K24" s="17">
        <v>0</v>
      </c>
      <c r="L24" s="17">
        <v>0</v>
      </c>
      <c r="M24" s="18">
        <f t="shared" si="0"/>
        <v>239869116</v>
      </c>
      <c r="N24" s="31">
        <f>(VLOOKUP(B24,'[3]Sheet1'!$B$16:$N$74,13,0))+239869116</f>
        <v>4523654469.34</v>
      </c>
      <c r="O24" s="34">
        <f t="shared" si="1"/>
        <v>0.026520280066648742</v>
      </c>
      <c r="P24" s="36"/>
    </row>
    <row r="25" spans="1:17" ht="15">
      <c r="A25" s="12">
        <v>10</v>
      </c>
      <c r="B25" s="13" t="s">
        <v>29</v>
      </c>
      <c r="C25" s="14" t="s">
        <v>30</v>
      </c>
      <c r="D25" s="15" t="s">
        <v>14</v>
      </c>
      <c r="E25" s="16" t="s">
        <v>14</v>
      </c>
      <c r="F25" s="16" t="s">
        <v>14</v>
      </c>
      <c r="G25" s="17">
        <f>VLOOKUP(B25,'[1]Brokers'!$B$9:$H$67,7,0)</f>
        <v>173233864</v>
      </c>
      <c r="H25" s="17">
        <f>VLOOKUP(B25,'[1]Brokers'!$B$9:$W$67,22,0)</f>
        <v>0</v>
      </c>
      <c r="I25" s="17">
        <f>VLOOKUP(B25,'[2]Brokers'!$B$9:$R$67,17,0)</f>
        <v>0</v>
      </c>
      <c r="J25" s="17">
        <f>VLOOKUP(B25,'[2]Brokers'!$B$9:$M$67,12,0)</f>
        <v>0</v>
      </c>
      <c r="K25" s="17">
        <v>0</v>
      </c>
      <c r="L25" s="17">
        <v>0</v>
      </c>
      <c r="M25" s="18">
        <f t="shared" si="0"/>
        <v>173233864</v>
      </c>
      <c r="N25" s="31">
        <f>(VLOOKUP(B25,'[3]Sheet1'!$B$16:$N$74,13,0))+173233864</f>
        <v>3845095100.950001</v>
      </c>
      <c r="O25" s="34">
        <f t="shared" si="1"/>
        <v>0.02254217240756031</v>
      </c>
      <c r="P25" s="36"/>
      <c r="Q25" s="1"/>
    </row>
    <row r="26" spans="1:16" ht="15">
      <c r="A26" s="12">
        <v>11</v>
      </c>
      <c r="B26" s="13" t="s">
        <v>23</v>
      </c>
      <c r="C26" s="14" t="s">
        <v>24</v>
      </c>
      <c r="D26" s="15" t="s">
        <v>14</v>
      </c>
      <c r="E26" s="16" t="s">
        <v>14</v>
      </c>
      <c r="F26" s="16"/>
      <c r="G26" s="17">
        <f>VLOOKUP(B26,'[1]Brokers'!$B$9:$H$67,7,0)</f>
        <v>119094213</v>
      </c>
      <c r="H26" s="17">
        <f>VLOOKUP(B26,'[1]Brokers'!$B$9:$W$67,22,0)</f>
        <v>0</v>
      </c>
      <c r="I26" s="17">
        <f>VLOOKUP(B26,'[2]Brokers'!$B$9:$R$67,17,0)</f>
        <v>0</v>
      </c>
      <c r="J26" s="17">
        <f>VLOOKUP(B26,'[2]Brokers'!$B$9:$M$67,12,0)</f>
        <v>0</v>
      </c>
      <c r="K26" s="17">
        <v>0</v>
      </c>
      <c r="L26" s="17">
        <v>0</v>
      </c>
      <c r="M26" s="18">
        <f t="shared" si="0"/>
        <v>119094213</v>
      </c>
      <c r="N26" s="31">
        <f>(VLOOKUP(B26,'[3]Sheet1'!$B$16:$N$74,13,0))+119094213</f>
        <v>2682232891.6800003</v>
      </c>
      <c r="O26" s="34">
        <f t="shared" si="1"/>
        <v>0.01572480125824223</v>
      </c>
      <c r="P26" s="36"/>
    </row>
    <row r="27" spans="1:16" ht="15">
      <c r="A27" s="12">
        <v>12</v>
      </c>
      <c r="B27" s="13" t="s">
        <v>51</v>
      </c>
      <c r="C27" s="14" t="s">
        <v>52</v>
      </c>
      <c r="D27" s="15" t="s">
        <v>14</v>
      </c>
      <c r="E27" s="16" t="s">
        <v>14</v>
      </c>
      <c r="F27" s="16"/>
      <c r="G27" s="17">
        <f>VLOOKUP(B27,'[1]Brokers'!$B$9:$H$67,7,0)</f>
        <v>26854175</v>
      </c>
      <c r="H27" s="17">
        <f>VLOOKUP(B27,'[1]Brokers'!$B$9:$W$67,22,0)</f>
        <v>0</v>
      </c>
      <c r="I27" s="17">
        <f>VLOOKUP(B27,'[2]Brokers'!$B$9:$R$67,17,0)</f>
        <v>0</v>
      </c>
      <c r="J27" s="17">
        <f>VLOOKUP(B27,'[2]Brokers'!$B$9:$M$67,12,0)</f>
        <v>0</v>
      </c>
      <c r="K27" s="17">
        <v>0</v>
      </c>
      <c r="L27" s="17">
        <v>0</v>
      </c>
      <c r="M27" s="18">
        <f t="shared" si="0"/>
        <v>26854175</v>
      </c>
      <c r="N27" s="31">
        <f>(VLOOKUP(B27,'[3]Sheet1'!$B$16:$N$74,13,0))+26854175</f>
        <v>1314626978.5699997</v>
      </c>
      <c r="O27" s="34">
        <f t="shared" si="1"/>
        <v>0.007707104044119292</v>
      </c>
      <c r="P27" s="36"/>
    </row>
    <row r="28" spans="1:16" ht="15">
      <c r="A28" s="12">
        <v>13</v>
      </c>
      <c r="B28" s="13" t="s">
        <v>35</v>
      </c>
      <c r="C28" s="14" t="s">
        <v>36</v>
      </c>
      <c r="D28" s="15" t="s">
        <v>14</v>
      </c>
      <c r="E28" s="16" t="s">
        <v>14</v>
      </c>
      <c r="F28" s="16"/>
      <c r="G28" s="17">
        <f>VLOOKUP(B28,'[1]Brokers'!$B$9:$H$67,7,0)</f>
        <v>212641309</v>
      </c>
      <c r="H28" s="17">
        <f>VLOOKUP(B28,'[1]Brokers'!$B$9:$W$67,22,0)</f>
        <v>0</v>
      </c>
      <c r="I28" s="17">
        <f>VLOOKUP(B28,'[2]Brokers'!$B$9:$R$67,17,0)</f>
        <v>0</v>
      </c>
      <c r="J28" s="17">
        <f>VLOOKUP(B28,'[2]Brokers'!$B$9:$M$67,12,0)</f>
        <v>0</v>
      </c>
      <c r="K28" s="17">
        <v>0</v>
      </c>
      <c r="L28" s="17">
        <v>0</v>
      </c>
      <c r="M28" s="18">
        <f t="shared" si="0"/>
        <v>212641309</v>
      </c>
      <c r="N28" s="31">
        <f>(VLOOKUP(B28,'[3]Sheet1'!$B$16:$N$74,13,0))+212641309</f>
        <v>915199212.4</v>
      </c>
      <c r="O28" s="34">
        <f t="shared" si="1"/>
        <v>0.005365427353952065</v>
      </c>
      <c r="P28" s="36"/>
    </row>
    <row r="29" spans="1:16" ht="15">
      <c r="A29" s="12">
        <v>14</v>
      </c>
      <c r="B29" s="13" t="s">
        <v>108</v>
      </c>
      <c r="C29" s="14" t="s">
        <v>109</v>
      </c>
      <c r="D29" s="15" t="s">
        <v>14</v>
      </c>
      <c r="E29" s="16"/>
      <c r="F29" s="16"/>
      <c r="G29" s="17">
        <f>VLOOKUP(B29,'[1]Brokers'!$B$9:$H$67,7,0)</f>
        <v>2521550</v>
      </c>
      <c r="H29" s="17">
        <f>VLOOKUP(B29,'[1]Brokers'!$B$9:$W$67,22,0)</f>
        <v>0</v>
      </c>
      <c r="I29" s="17">
        <f>VLOOKUP(B29,'[2]Brokers'!$B$9:$R$67,17,0)</f>
        <v>0</v>
      </c>
      <c r="J29" s="17">
        <f>VLOOKUP(B29,'[2]Brokers'!$B$9:$M$67,12,0)</f>
        <v>0</v>
      </c>
      <c r="K29" s="17">
        <v>0</v>
      </c>
      <c r="L29" s="17">
        <v>0</v>
      </c>
      <c r="M29" s="18">
        <f t="shared" si="0"/>
        <v>2521550</v>
      </c>
      <c r="N29" s="31">
        <f>(VLOOKUP(B29,'[3]Sheet1'!$B$16:$N$74,13,0))+2521550</f>
        <v>848355802.01</v>
      </c>
      <c r="O29" s="34">
        <f t="shared" si="1"/>
        <v>0.004973552603975554</v>
      </c>
      <c r="P29" s="36"/>
    </row>
    <row r="30" spans="1:16" ht="15">
      <c r="A30" s="12">
        <v>15</v>
      </c>
      <c r="B30" s="13" t="s">
        <v>79</v>
      </c>
      <c r="C30" s="14" t="s">
        <v>136</v>
      </c>
      <c r="D30" s="15" t="s">
        <v>14</v>
      </c>
      <c r="E30" s="16"/>
      <c r="F30" s="16"/>
      <c r="G30" s="17">
        <f>VLOOKUP(B30,'[1]Brokers'!$B$9:$H$67,7,0)</f>
        <v>102284257</v>
      </c>
      <c r="H30" s="17">
        <f>VLOOKUP(B30,'[1]Brokers'!$B$9:$W$67,22,0)</f>
        <v>0</v>
      </c>
      <c r="I30" s="17">
        <f>VLOOKUP(B30,'[2]Brokers'!$B$9:$R$67,17,0)</f>
        <v>0</v>
      </c>
      <c r="J30" s="17">
        <f>VLOOKUP(B30,'[2]Brokers'!$B$9:$M$67,12,0)</f>
        <v>0</v>
      </c>
      <c r="K30" s="17">
        <v>0</v>
      </c>
      <c r="L30" s="17">
        <v>0</v>
      </c>
      <c r="M30" s="18">
        <f t="shared" si="0"/>
        <v>102284257</v>
      </c>
      <c r="N30" s="31">
        <f>(VLOOKUP(B30,'[3]Sheet1'!$B$16:$N$74,13,0))+102284257</f>
        <v>735824266.75</v>
      </c>
      <c r="O30" s="34">
        <f t="shared" si="1"/>
        <v>0.004313827629034977</v>
      </c>
      <c r="P30" s="36"/>
    </row>
    <row r="31" spans="1:16" ht="15">
      <c r="A31" s="12">
        <v>16</v>
      </c>
      <c r="B31" s="13" t="s">
        <v>82</v>
      </c>
      <c r="C31" s="14" t="s">
        <v>83</v>
      </c>
      <c r="D31" s="15" t="s">
        <v>14</v>
      </c>
      <c r="E31" s="16"/>
      <c r="F31" s="16"/>
      <c r="G31" s="17">
        <f>VLOOKUP(B31,'[1]Brokers'!$B$9:$H$67,7,0)</f>
        <v>20068271</v>
      </c>
      <c r="H31" s="17">
        <f>VLOOKUP(B31,'[1]Brokers'!$B$9:$W$67,22,0)</f>
        <v>0</v>
      </c>
      <c r="I31" s="17">
        <f>VLOOKUP(B31,'[2]Brokers'!$B$9:$R$67,17,0)</f>
        <v>0</v>
      </c>
      <c r="J31" s="17">
        <f>VLOOKUP(B31,'[2]Brokers'!$B$9:$M$67,12,0)</f>
        <v>0</v>
      </c>
      <c r="K31" s="17">
        <v>0</v>
      </c>
      <c r="L31" s="17">
        <v>0</v>
      </c>
      <c r="M31" s="18">
        <f t="shared" si="0"/>
        <v>20068271</v>
      </c>
      <c r="N31" s="31">
        <f>(VLOOKUP(B31,'[3]Sheet1'!$B$16:$N$74,13,0))+20068271</f>
        <v>723390045.3399999</v>
      </c>
      <c r="O31" s="34">
        <f t="shared" si="1"/>
        <v>0.004240931028191802</v>
      </c>
      <c r="P31" s="36"/>
    </row>
    <row r="32" spans="1:16" ht="15">
      <c r="A32" s="12">
        <v>17</v>
      </c>
      <c r="B32" s="13" t="s">
        <v>67</v>
      </c>
      <c r="C32" s="14" t="s">
        <v>68</v>
      </c>
      <c r="D32" s="15" t="s">
        <v>14</v>
      </c>
      <c r="E32" s="16"/>
      <c r="F32" s="16"/>
      <c r="G32" s="17">
        <f>VLOOKUP(B32,'[1]Brokers'!$B$9:$H$67,7,0)</f>
        <v>79639864</v>
      </c>
      <c r="H32" s="17">
        <f>VLOOKUP(B32,'[1]Brokers'!$B$9:$W$67,22,0)</f>
        <v>0</v>
      </c>
      <c r="I32" s="17">
        <f>VLOOKUP(B32,'[2]Brokers'!$B$9:$R$67,17,0)</f>
        <v>0</v>
      </c>
      <c r="J32" s="17">
        <f>VLOOKUP(B32,'[2]Brokers'!$B$9:$M$67,12,0)</f>
        <v>0</v>
      </c>
      <c r="K32" s="17">
        <v>0</v>
      </c>
      <c r="L32" s="17">
        <v>0</v>
      </c>
      <c r="M32" s="18">
        <f t="shared" si="0"/>
        <v>79639864</v>
      </c>
      <c r="N32" s="31">
        <f>(VLOOKUP(B32,'[3]Sheet1'!$B$16:$N$74,13,0))+79639864</f>
        <v>655893855.7</v>
      </c>
      <c r="O32" s="34">
        <f t="shared" si="1"/>
        <v>0.0038452293085276135</v>
      </c>
      <c r="P32" s="36"/>
    </row>
    <row r="33" spans="1:16" ht="15">
      <c r="A33" s="12">
        <v>18</v>
      </c>
      <c r="B33" s="13" t="s">
        <v>61</v>
      </c>
      <c r="C33" s="14" t="s">
        <v>62</v>
      </c>
      <c r="D33" s="15" t="s">
        <v>14</v>
      </c>
      <c r="E33" s="16" t="s">
        <v>14</v>
      </c>
      <c r="F33" s="16" t="s">
        <v>14</v>
      </c>
      <c r="G33" s="17">
        <f>VLOOKUP(B33,'[1]Brokers'!$B$9:$H$67,7,0)</f>
        <v>7625250</v>
      </c>
      <c r="H33" s="17">
        <f>VLOOKUP(B33,'[1]Brokers'!$B$9:$W$67,22,0)</f>
        <v>0</v>
      </c>
      <c r="I33" s="17">
        <f>VLOOKUP(B33,'[2]Brokers'!$B$9:$R$67,17,0)</f>
        <v>0</v>
      </c>
      <c r="J33" s="17">
        <f>VLOOKUP(B33,'[2]Brokers'!$B$9:$M$67,12,0)</f>
        <v>0</v>
      </c>
      <c r="K33" s="17">
        <v>0</v>
      </c>
      <c r="L33" s="17">
        <v>0</v>
      </c>
      <c r="M33" s="18">
        <f t="shared" si="0"/>
        <v>7625250</v>
      </c>
      <c r="N33" s="31">
        <f>(VLOOKUP(B33,'[3]Sheet1'!$B$16:$N$74,13,0))+7625250</f>
        <v>641967927.77</v>
      </c>
      <c r="O33" s="34">
        <f t="shared" si="1"/>
        <v>0.0037635874609031525</v>
      </c>
      <c r="P33" s="36"/>
    </row>
    <row r="34" spans="1:16" ht="15">
      <c r="A34" s="12">
        <v>19</v>
      </c>
      <c r="B34" s="13" t="s">
        <v>47</v>
      </c>
      <c r="C34" s="14" t="s">
        <v>48</v>
      </c>
      <c r="D34" s="15" t="s">
        <v>14</v>
      </c>
      <c r="E34" s="16"/>
      <c r="F34" s="16"/>
      <c r="G34" s="17">
        <f>VLOOKUP(B34,'[1]Brokers'!$B$9:$H$67,7,0)</f>
        <v>18103988</v>
      </c>
      <c r="H34" s="17">
        <f>VLOOKUP(B34,'[1]Brokers'!$B$9:$W$67,22,0)</f>
        <v>0</v>
      </c>
      <c r="I34" s="17">
        <f>VLOOKUP(B34,'[2]Brokers'!$B$9:$R$67,17,0)</f>
        <v>0</v>
      </c>
      <c r="J34" s="17">
        <f>VLOOKUP(B34,'[2]Brokers'!$B$9:$M$67,12,0)</f>
        <v>0</v>
      </c>
      <c r="K34" s="17">
        <v>0</v>
      </c>
      <c r="L34" s="17">
        <v>0</v>
      </c>
      <c r="M34" s="18">
        <f t="shared" si="0"/>
        <v>18103988</v>
      </c>
      <c r="N34" s="31">
        <f>(VLOOKUP(B34,'[3]Sheet1'!$B$16:$N$74,13,0))+18103988</f>
        <v>519548886.46000004</v>
      </c>
      <c r="O34" s="34">
        <f t="shared" si="1"/>
        <v>0.003045896204191073</v>
      </c>
      <c r="P34" s="36"/>
    </row>
    <row r="35" spans="1:16" ht="15">
      <c r="A35" s="12">
        <v>20</v>
      </c>
      <c r="B35" s="13" t="s">
        <v>59</v>
      </c>
      <c r="C35" s="14" t="s">
        <v>60</v>
      </c>
      <c r="D35" s="15" t="s">
        <v>14</v>
      </c>
      <c r="E35" s="16"/>
      <c r="F35" s="16"/>
      <c r="G35" s="17">
        <f>VLOOKUP(B35,'[1]Brokers'!$B$9:$H$67,7,0)</f>
        <v>12066468</v>
      </c>
      <c r="H35" s="17">
        <f>VLOOKUP(B35,'[1]Brokers'!$B$9:$W$67,22,0)</f>
        <v>0</v>
      </c>
      <c r="I35" s="17">
        <f>VLOOKUP(B35,'[2]Brokers'!$B$9:$R$67,17,0)</f>
        <v>0</v>
      </c>
      <c r="J35" s="17">
        <f>VLOOKUP(B35,'[2]Brokers'!$B$9:$M$67,12,0)</f>
        <v>0</v>
      </c>
      <c r="K35" s="17">
        <v>0</v>
      </c>
      <c r="L35" s="17">
        <v>0</v>
      </c>
      <c r="M35" s="18">
        <f t="shared" si="0"/>
        <v>12066468</v>
      </c>
      <c r="N35" s="31">
        <f>(VLOOKUP(B35,'[3]Sheet1'!$B$16:$N$74,13,0))+12066468</f>
        <v>516886718.98</v>
      </c>
      <c r="O35" s="34">
        <f t="shared" si="1"/>
        <v>0.0030302890379867485</v>
      </c>
      <c r="P35" s="36"/>
    </row>
    <row r="36" spans="1:16" ht="15">
      <c r="A36" s="12">
        <v>21</v>
      </c>
      <c r="B36" s="13" t="s">
        <v>43</v>
      </c>
      <c r="C36" s="14" t="s">
        <v>44</v>
      </c>
      <c r="D36" s="15" t="s">
        <v>14</v>
      </c>
      <c r="E36" s="16" t="s">
        <v>14</v>
      </c>
      <c r="F36" s="16"/>
      <c r="G36" s="17">
        <f>VLOOKUP(B36,'[1]Brokers'!$B$9:$H$67,7,0)</f>
        <v>4344754</v>
      </c>
      <c r="H36" s="17">
        <f>VLOOKUP(B36,'[1]Brokers'!$B$9:$W$67,22,0)</f>
        <v>0</v>
      </c>
      <c r="I36" s="17">
        <f>VLOOKUP(B36,'[2]Brokers'!$B$9:$R$67,17,0)</f>
        <v>0</v>
      </c>
      <c r="J36" s="17">
        <f>VLOOKUP(B36,'[2]Brokers'!$B$9:$M$67,12,0)</f>
        <v>0</v>
      </c>
      <c r="K36" s="17">
        <v>0</v>
      </c>
      <c r="L36" s="17">
        <v>0</v>
      </c>
      <c r="M36" s="18">
        <f t="shared" si="0"/>
        <v>4344754</v>
      </c>
      <c r="N36" s="31">
        <f>(VLOOKUP(B36,'[3]Sheet1'!$B$16:$N$74,13,0))+4344754</f>
        <v>435015426.31000006</v>
      </c>
      <c r="O36" s="34">
        <f t="shared" si="1"/>
        <v>0.002550312146351223</v>
      </c>
      <c r="P36" s="36"/>
    </row>
    <row r="37" spans="1:16" ht="15">
      <c r="A37" s="12">
        <v>22</v>
      </c>
      <c r="B37" s="13" t="s">
        <v>55</v>
      </c>
      <c r="C37" s="14" t="s">
        <v>56</v>
      </c>
      <c r="D37" s="15" t="s">
        <v>14</v>
      </c>
      <c r="E37" s="16"/>
      <c r="F37" s="16"/>
      <c r="G37" s="17">
        <f>VLOOKUP(B37,'[1]Brokers'!$B$9:$H$67,7,0)</f>
        <v>15578587</v>
      </c>
      <c r="H37" s="17">
        <f>VLOOKUP(B37,'[1]Brokers'!$B$9:$W$67,22,0)</f>
        <v>0</v>
      </c>
      <c r="I37" s="17">
        <f>VLOOKUP(B37,'[2]Brokers'!$B$9:$R$67,17,0)</f>
        <v>0</v>
      </c>
      <c r="J37" s="17">
        <f>VLOOKUP(B37,'[2]Brokers'!$B$9:$M$67,12,0)</f>
        <v>0</v>
      </c>
      <c r="K37" s="17">
        <v>0</v>
      </c>
      <c r="L37" s="17">
        <v>0</v>
      </c>
      <c r="M37" s="18">
        <f t="shared" si="0"/>
        <v>15578587</v>
      </c>
      <c r="N37" s="31">
        <f>(VLOOKUP(B37,'[3]Sheet1'!$B$16:$N$74,13,0))+15578587</f>
        <v>356582245.91999996</v>
      </c>
      <c r="O37" s="34">
        <f t="shared" si="1"/>
        <v>0.002090491458330313</v>
      </c>
      <c r="P37" s="36"/>
    </row>
    <row r="38" spans="1:16" ht="15">
      <c r="A38" s="12">
        <v>23</v>
      </c>
      <c r="B38" s="13" t="s">
        <v>69</v>
      </c>
      <c r="C38" s="14" t="s">
        <v>70</v>
      </c>
      <c r="D38" s="15" t="s">
        <v>14</v>
      </c>
      <c r="E38" s="16"/>
      <c r="F38" s="16"/>
      <c r="G38" s="17">
        <f>VLOOKUP(B38,'[1]Brokers'!$B$9:$H$67,7,0)</f>
        <v>17274751</v>
      </c>
      <c r="H38" s="17">
        <f>VLOOKUP(B38,'[1]Brokers'!$B$9:$W$67,22,0)</f>
        <v>0</v>
      </c>
      <c r="I38" s="17">
        <f>VLOOKUP(B38,'[2]Brokers'!$B$9:$R$67,17,0)</f>
        <v>0</v>
      </c>
      <c r="J38" s="17">
        <f>VLOOKUP(B38,'[2]Brokers'!$B$9:$M$67,12,0)</f>
        <v>0</v>
      </c>
      <c r="K38" s="17">
        <v>0</v>
      </c>
      <c r="L38" s="17">
        <v>0</v>
      </c>
      <c r="M38" s="18">
        <f t="shared" si="0"/>
        <v>17274751</v>
      </c>
      <c r="N38" s="31">
        <f>(VLOOKUP(B38,'[3]Sheet1'!$B$16:$N$74,13,0))+17274751</f>
        <v>324043319.84</v>
      </c>
      <c r="O38" s="34">
        <f t="shared" si="1"/>
        <v>0.001899729445325486</v>
      </c>
      <c r="P38" s="36"/>
    </row>
    <row r="39" spans="1:16" ht="15">
      <c r="A39" s="12">
        <v>24</v>
      </c>
      <c r="B39" s="13" t="s">
        <v>17</v>
      </c>
      <c r="C39" s="14" t="s">
        <v>18</v>
      </c>
      <c r="D39" s="15" t="s">
        <v>14</v>
      </c>
      <c r="E39" s="16" t="s">
        <v>14</v>
      </c>
      <c r="F39" s="16" t="s">
        <v>14</v>
      </c>
      <c r="G39" s="17">
        <f>VLOOKUP(B39,'[1]Brokers'!$B$9:$H$67,7,0)</f>
        <v>7698843</v>
      </c>
      <c r="H39" s="17">
        <f>VLOOKUP(B39,'[1]Brokers'!$B$9:$W$67,22,0)</f>
        <v>0</v>
      </c>
      <c r="I39" s="17">
        <f>VLOOKUP(B39,'[2]Brokers'!$B$9:$R$67,17,0)</f>
        <v>0</v>
      </c>
      <c r="J39" s="17">
        <f>VLOOKUP(B39,'[2]Brokers'!$B$9:$M$67,12,0)</f>
        <v>0</v>
      </c>
      <c r="K39" s="17">
        <v>0</v>
      </c>
      <c r="L39" s="17">
        <v>0</v>
      </c>
      <c r="M39" s="18">
        <f t="shared" si="0"/>
        <v>7698843</v>
      </c>
      <c r="N39" s="31">
        <f>(VLOOKUP(B39,'[3]Sheet1'!$B$16:$N$74,13,0))+7698843</f>
        <v>319785316.32000005</v>
      </c>
      <c r="O39" s="34">
        <f t="shared" si="1"/>
        <v>0.0018747665648401314</v>
      </c>
      <c r="P39" s="36"/>
    </row>
    <row r="40" spans="1:16" ht="15">
      <c r="A40" s="12">
        <v>25</v>
      </c>
      <c r="B40" s="13" t="s">
        <v>77</v>
      </c>
      <c r="C40" s="14" t="s">
        <v>78</v>
      </c>
      <c r="D40" s="15" t="s">
        <v>14</v>
      </c>
      <c r="E40" s="16"/>
      <c r="F40" s="16"/>
      <c r="G40" s="17">
        <f>VLOOKUP(B40,'[1]Brokers'!$B$9:$H$67,7,0)</f>
        <v>0</v>
      </c>
      <c r="H40" s="17">
        <f>VLOOKUP(B40,'[1]Brokers'!$B$9:$W$67,22,0)</f>
        <v>0</v>
      </c>
      <c r="I40" s="17">
        <f>VLOOKUP(B40,'[2]Brokers'!$B$9:$R$67,17,0)</f>
        <v>0</v>
      </c>
      <c r="J40" s="17">
        <f>VLOOKUP(B40,'[2]Brokers'!$B$9:$M$67,12,0)</f>
        <v>0</v>
      </c>
      <c r="K40" s="17">
        <v>0</v>
      </c>
      <c r="L40" s="17">
        <v>0</v>
      </c>
      <c r="M40" s="18">
        <f t="shared" si="0"/>
        <v>0</v>
      </c>
      <c r="N40" s="31">
        <f>(VLOOKUP(B40,'[3]Sheet1'!$B$16:$N$74,13,0))+0</f>
        <v>300595821.88000005</v>
      </c>
      <c r="O40" s="34">
        <f t="shared" si="1"/>
        <v>0.0017622666446239774</v>
      </c>
      <c r="P40" s="36"/>
    </row>
    <row r="41" spans="1:16" ht="15">
      <c r="A41" s="12">
        <v>26</v>
      </c>
      <c r="B41" s="13" t="s">
        <v>94</v>
      </c>
      <c r="C41" s="14" t="s">
        <v>95</v>
      </c>
      <c r="D41" s="15" t="s">
        <v>14</v>
      </c>
      <c r="E41" s="16" t="s">
        <v>14</v>
      </c>
      <c r="F41" s="16" t="s">
        <v>14</v>
      </c>
      <c r="G41" s="17">
        <f>VLOOKUP(B41,'[1]Brokers'!$B$9:$H$67,7,0)</f>
        <v>11706742</v>
      </c>
      <c r="H41" s="17">
        <f>VLOOKUP(B41,'[1]Brokers'!$B$9:$W$67,22,0)</f>
        <v>0</v>
      </c>
      <c r="I41" s="17">
        <f>VLOOKUP(B41,'[2]Brokers'!$B$9:$R$67,17,0)</f>
        <v>0</v>
      </c>
      <c r="J41" s="17">
        <f>VLOOKUP(B41,'[2]Brokers'!$B$9:$M$67,12,0)</f>
        <v>0</v>
      </c>
      <c r="K41" s="17">
        <v>0</v>
      </c>
      <c r="L41" s="17">
        <v>0</v>
      </c>
      <c r="M41" s="18">
        <f t="shared" si="0"/>
        <v>11706742</v>
      </c>
      <c r="N41" s="31">
        <f>(VLOOKUP(B41,'[3]Sheet1'!$B$16:$N$74,13,0))+11706742</f>
        <v>252588455.57</v>
      </c>
      <c r="O41" s="34">
        <f t="shared" si="1"/>
        <v>0.0014808196843327875</v>
      </c>
      <c r="P41" s="36"/>
    </row>
    <row r="42" spans="1:16" ht="15">
      <c r="A42" s="12">
        <v>27</v>
      </c>
      <c r="B42" s="13" t="s">
        <v>73</v>
      </c>
      <c r="C42" s="14" t="s">
        <v>74</v>
      </c>
      <c r="D42" s="15" t="s">
        <v>14</v>
      </c>
      <c r="E42" s="16"/>
      <c r="F42" s="16"/>
      <c r="G42" s="17">
        <f>VLOOKUP(B42,'[1]Brokers'!$B$9:$H$67,7,0)</f>
        <v>6822809</v>
      </c>
      <c r="H42" s="17">
        <f>VLOOKUP(B42,'[1]Brokers'!$B$9:$W$67,22,0)</f>
        <v>0</v>
      </c>
      <c r="I42" s="17">
        <f>VLOOKUP(B42,'[2]Brokers'!$B$9:$R$67,17,0)</f>
        <v>0</v>
      </c>
      <c r="J42" s="17">
        <f>VLOOKUP(B42,'[2]Brokers'!$B$9:$M$67,12,0)</f>
        <v>0</v>
      </c>
      <c r="K42" s="17">
        <v>0</v>
      </c>
      <c r="L42" s="17">
        <v>0</v>
      </c>
      <c r="M42" s="18">
        <f t="shared" si="0"/>
        <v>6822809</v>
      </c>
      <c r="N42" s="31">
        <f>(VLOOKUP(B42,'[3]Sheet1'!$B$16:$N$74,13,0))+6822809</f>
        <v>248013461.36</v>
      </c>
      <c r="O42" s="34">
        <f t="shared" si="1"/>
        <v>0.0014539984209991628</v>
      </c>
      <c r="P42" s="36"/>
    </row>
    <row r="43" spans="1:16" ht="15">
      <c r="A43" s="12">
        <v>28</v>
      </c>
      <c r="B43" s="13" t="s">
        <v>122</v>
      </c>
      <c r="C43" s="14" t="s">
        <v>123</v>
      </c>
      <c r="D43" s="15" t="s">
        <v>14</v>
      </c>
      <c r="E43" s="16"/>
      <c r="F43" s="16"/>
      <c r="G43" s="17">
        <f>VLOOKUP(B43,'[1]Brokers'!$B$9:$H$67,7,0)</f>
        <v>16157390</v>
      </c>
      <c r="H43" s="17">
        <f>VLOOKUP(B43,'[1]Brokers'!$B$9:$W$67,22,0)</f>
        <v>0</v>
      </c>
      <c r="I43" s="17">
        <f>VLOOKUP(B43,'[2]Brokers'!$B$9:$R$67,17,0)</f>
        <v>0</v>
      </c>
      <c r="J43" s="17">
        <f>VLOOKUP(B43,'[2]Brokers'!$B$9:$M$67,12,0)</f>
        <v>0</v>
      </c>
      <c r="K43" s="17">
        <v>0</v>
      </c>
      <c r="L43" s="17">
        <v>0</v>
      </c>
      <c r="M43" s="18">
        <f t="shared" si="0"/>
        <v>16157390</v>
      </c>
      <c r="N43" s="31">
        <f>(VLOOKUP(B43,'[3]Sheet1'!$B$16:$N$74,13,0))+16157390</f>
        <v>237931328.45999998</v>
      </c>
      <c r="O43" s="34">
        <f t="shared" si="1"/>
        <v>0.0013948911240140806</v>
      </c>
      <c r="P43" s="36"/>
    </row>
    <row r="44" spans="1:16" ht="15">
      <c r="A44" s="12">
        <v>29</v>
      </c>
      <c r="B44" s="13" t="s">
        <v>33</v>
      </c>
      <c r="C44" s="14" t="s">
        <v>34</v>
      </c>
      <c r="D44" s="15" t="s">
        <v>14</v>
      </c>
      <c r="E44" s="16" t="s">
        <v>14</v>
      </c>
      <c r="F44" s="16"/>
      <c r="G44" s="17">
        <f>VLOOKUP(B44,'[1]Brokers'!$B$9:$H$67,7,0)</f>
        <v>13512289</v>
      </c>
      <c r="H44" s="17">
        <f>VLOOKUP(B44,'[1]Brokers'!$B$9:$W$67,22,0)</f>
        <v>0</v>
      </c>
      <c r="I44" s="17">
        <f>VLOOKUP(B44,'[2]Brokers'!$B$9:$R$67,17,0)</f>
        <v>0</v>
      </c>
      <c r="J44" s="17">
        <f>VLOOKUP(B44,'[2]Brokers'!$B$9:$M$67,12,0)</f>
        <v>0</v>
      </c>
      <c r="K44" s="17">
        <v>0</v>
      </c>
      <c r="L44" s="17">
        <v>0</v>
      </c>
      <c r="M44" s="18">
        <f t="shared" si="0"/>
        <v>13512289</v>
      </c>
      <c r="N44" s="31">
        <f>(VLOOKUP(B44,'[3]Sheet1'!$B$16:$N$74,13,0))+13512289</f>
        <v>210132633.95</v>
      </c>
      <c r="O44" s="34">
        <f t="shared" si="1"/>
        <v>0.0012319190913601427</v>
      </c>
      <c r="P44" s="36"/>
    </row>
    <row r="45" spans="1:16" ht="15">
      <c r="A45" s="12">
        <v>30</v>
      </c>
      <c r="B45" s="13" t="s">
        <v>75</v>
      </c>
      <c r="C45" s="14" t="s">
        <v>76</v>
      </c>
      <c r="D45" s="15" t="s">
        <v>14</v>
      </c>
      <c r="E45" s="16"/>
      <c r="F45" s="16"/>
      <c r="G45" s="17">
        <f>VLOOKUP(B45,'[1]Brokers'!$B$9:$H$67,7,0)</f>
        <v>159693377</v>
      </c>
      <c r="H45" s="17">
        <f>VLOOKUP(B45,'[1]Brokers'!$B$9:$W$67,22,0)</f>
        <v>0</v>
      </c>
      <c r="I45" s="17">
        <f>VLOOKUP(B45,'[2]Brokers'!$B$9:$R$67,17,0)</f>
        <v>0</v>
      </c>
      <c r="J45" s="17">
        <f>VLOOKUP(B45,'[2]Brokers'!$B$9:$M$67,12,0)</f>
        <v>0</v>
      </c>
      <c r="K45" s="17">
        <v>0</v>
      </c>
      <c r="L45" s="17">
        <v>0</v>
      </c>
      <c r="M45" s="18">
        <f t="shared" si="0"/>
        <v>159693377</v>
      </c>
      <c r="N45" s="31">
        <f>(VLOOKUP(B45,'[3]Sheet1'!$B$16:$N$74,13,0))+159693377</f>
        <v>171910562</v>
      </c>
      <c r="O45" s="34">
        <f t="shared" si="1"/>
        <v>0.0010078391887699055</v>
      </c>
      <c r="P45" s="36"/>
    </row>
    <row r="46" spans="1:16" ht="15">
      <c r="A46" s="12">
        <v>31</v>
      </c>
      <c r="B46" s="13" t="s">
        <v>53</v>
      </c>
      <c r="C46" s="14" t="s">
        <v>54</v>
      </c>
      <c r="D46" s="15" t="s">
        <v>14</v>
      </c>
      <c r="E46" s="16"/>
      <c r="F46" s="16"/>
      <c r="G46" s="17">
        <f>VLOOKUP(B46,'[1]Brokers'!$B$9:$H$67,7,0)</f>
        <v>7820018</v>
      </c>
      <c r="H46" s="17">
        <f>VLOOKUP(B46,'[1]Brokers'!$B$9:$W$67,22,0)</f>
        <v>0</v>
      </c>
      <c r="I46" s="17">
        <f>VLOOKUP(B46,'[2]Brokers'!$B$9:$R$67,17,0)</f>
        <v>0</v>
      </c>
      <c r="J46" s="17">
        <f>VLOOKUP(B46,'[2]Brokers'!$B$9:$M$67,12,0)</f>
        <v>0</v>
      </c>
      <c r="K46" s="17">
        <v>0</v>
      </c>
      <c r="L46" s="17">
        <v>0</v>
      </c>
      <c r="M46" s="18">
        <f t="shared" si="0"/>
        <v>7820018</v>
      </c>
      <c r="N46" s="31">
        <f>(VLOOKUP(B46,'[3]Sheet1'!$B$16:$N$74,13,0))+7820018</f>
        <v>149570482.82999998</v>
      </c>
      <c r="O46" s="34">
        <f t="shared" si="1"/>
        <v>0.000876868717812174</v>
      </c>
      <c r="P46" s="36"/>
    </row>
    <row r="47" spans="1:16" ht="15">
      <c r="A47" s="12">
        <v>32</v>
      </c>
      <c r="B47" s="13" t="s">
        <v>80</v>
      </c>
      <c r="C47" s="14" t="s">
        <v>81</v>
      </c>
      <c r="D47" s="15" t="s">
        <v>14</v>
      </c>
      <c r="E47" s="16"/>
      <c r="F47" s="16"/>
      <c r="G47" s="17">
        <f>VLOOKUP(B47,'[1]Brokers'!$B$9:$H$67,7,0)</f>
        <v>4615256</v>
      </c>
      <c r="H47" s="17">
        <f>VLOOKUP(B47,'[1]Brokers'!$B$9:$W$67,22,0)</f>
        <v>0</v>
      </c>
      <c r="I47" s="17">
        <f>VLOOKUP(B47,'[2]Brokers'!$B$9:$R$67,17,0)</f>
        <v>0</v>
      </c>
      <c r="J47" s="17">
        <f>VLOOKUP(B47,'[2]Brokers'!$B$9:$M$67,12,0)</f>
        <v>0</v>
      </c>
      <c r="K47" s="17">
        <v>0</v>
      </c>
      <c r="L47" s="17">
        <v>0</v>
      </c>
      <c r="M47" s="18">
        <f t="shared" si="0"/>
        <v>4615256</v>
      </c>
      <c r="N47" s="31">
        <f>(VLOOKUP(B47,'[3]Sheet1'!$B$16:$N$74,13,0))+4615256</f>
        <v>125236740.14000002</v>
      </c>
      <c r="O47" s="34">
        <f t="shared" si="1"/>
        <v>0.0007342102376867633</v>
      </c>
      <c r="P47" s="36"/>
    </row>
    <row r="48" spans="1:16" ht="15">
      <c r="A48" s="12">
        <v>33</v>
      </c>
      <c r="B48" s="13" t="s">
        <v>49</v>
      </c>
      <c r="C48" s="14" t="s">
        <v>50</v>
      </c>
      <c r="D48" s="15" t="s">
        <v>14</v>
      </c>
      <c r="E48" s="16"/>
      <c r="F48" s="16"/>
      <c r="G48" s="17">
        <f>VLOOKUP(B48,'[1]Brokers'!$B$9:$H$67,7,0)</f>
        <v>2301823</v>
      </c>
      <c r="H48" s="17">
        <f>VLOOKUP(B48,'[1]Brokers'!$B$9:$W$67,22,0)</f>
        <v>0</v>
      </c>
      <c r="I48" s="17">
        <f>VLOOKUP(B48,'[2]Brokers'!$B$9:$R$67,17,0)</f>
        <v>0</v>
      </c>
      <c r="J48" s="17">
        <f>VLOOKUP(B48,'[2]Brokers'!$B$9:$M$67,12,0)</f>
        <v>0</v>
      </c>
      <c r="K48" s="17">
        <v>0</v>
      </c>
      <c r="L48" s="17">
        <v>0</v>
      </c>
      <c r="M48" s="18">
        <f aca="true" t="shared" si="2" ref="M48:M74">L48+I48+J48+H48+G48</f>
        <v>2301823</v>
      </c>
      <c r="N48" s="31">
        <f>(VLOOKUP(B48,'[3]Sheet1'!$B$16:$N$74,13,0))+2301823</f>
        <v>120450019.91</v>
      </c>
      <c r="O48" s="34">
        <f aca="true" t="shared" si="3" ref="O48:O74">N48/$N$75</f>
        <v>0.0007061477139107564</v>
      </c>
      <c r="P48" s="36"/>
    </row>
    <row r="49" spans="1:16" ht="15">
      <c r="A49" s="12">
        <v>34</v>
      </c>
      <c r="B49" s="13" t="s">
        <v>39</v>
      </c>
      <c r="C49" s="14" t="s">
        <v>40</v>
      </c>
      <c r="D49" s="15" t="s">
        <v>14</v>
      </c>
      <c r="E49" s="16"/>
      <c r="F49" s="16"/>
      <c r="G49" s="17">
        <f>VLOOKUP(B49,'[1]Brokers'!$B$9:$H$67,7,0)</f>
        <v>1018380</v>
      </c>
      <c r="H49" s="17">
        <f>VLOOKUP(B49,'[1]Brokers'!$B$9:$W$67,22,0)</f>
        <v>0</v>
      </c>
      <c r="I49" s="17">
        <f>VLOOKUP(B49,'[2]Brokers'!$B$9:$R$67,17,0)</f>
        <v>0</v>
      </c>
      <c r="J49" s="17">
        <f>VLOOKUP(B49,'[2]Brokers'!$B$9:$M$67,12,0)</f>
        <v>0</v>
      </c>
      <c r="K49" s="17">
        <v>0</v>
      </c>
      <c r="L49" s="17">
        <v>0</v>
      </c>
      <c r="M49" s="18">
        <f t="shared" si="2"/>
        <v>1018380</v>
      </c>
      <c r="N49" s="31">
        <f>(VLOOKUP(B49,'[3]Sheet1'!$B$16:$N$74,13,0))+1018380</f>
        <v>102607457.4</v>
      </c>
      <c r="O49" s="34">
        <f t="shared" si="3"/>
        <v>0.0006015442880569411</v>
      </c>
      <c r="P49" s="36"/>
    </row>
    <row r="50" spans="1:16" ht="15">
      <c r="A50" s="12">
        <v>35</v>
      </c>
      <c r="B50" s="13" t="s">
        <v>37</v>
      </c>
      <c r="C50" s="14" t="s">
        <v>38</v>
      </c>
      <c r="D50" s="15" t="s">
        <v>14</v>
      </c>
      <c r="E50" s="16" t="s">
        <v>14</v>
      </c>
      <c r="F50" s="16" t="s">
        <v>14</v>
      </c>
      <c r="G50" s="17">
        <f>VLOOKUP(B50,'[1]Brokers'!$B$9:$H$67,7,0)</f>
        <v>1464500</v>
      </c>
      <c r="H50" s="17">
        <f>VLOOKUP(B50,'[1]Brokers'!$B$9:$W$67,22,0)</f>
        <v>0</v>
      </c>
      <c r="I50" s="17">
        <f>VLOOKUP(B50,'[2]Brokers'!$B$9:$R$67,17,0)</f>
        <v>0</v>
      </c>
      <c r="J50" s="17">
        <f>VLOOKUP(B50,'[2]Brokers'!$B$9:$M$67,12,0)</f>
        <v>0</v>
      </c>
      <c r="K50" s="17">
        <v>0</v>
      </c>
      <c r="L50" s="17">
        <v>0</v>
      </c>
      <c r="M50" s="18">
        <f t="shared" si="2"/>
        <v>1464500</v>
      </c>
      <c r="N50" s="31">
        <f>(VLOOKUP(B50,'[3]Sheet1'!$B$16:$N$74,13,0))+1464500</f>
        <v>78906483.77</v>
      </c>
      <c r="O50" s="34">
        <f t="shared" si="3"/>
        <v>0.0004625954663067328</v>
      </c>
      <c r="P50" s="36"/>
    </row>
    <row r="51" spans="1:17" s="20" customFormat="1" ht="15">
      <c r="A51" s="12">
        <v>36</v>
      </c>
      <c r="B51" s="13" t="s">
        <v>88</v>
      </c>
      <c r="C51" s="14" t="s">
        <v>89</v>
      </c>
      <c r="D51" s="15" t="s">
        <v>14</v>
      </c>
      <c r="E51" s="16"/>
      <c r="F51" s="16"/>
      <c r="G51" s="17">
        <f>VLOOKUP(B51,'[1]Brokers'!$B$9:$H$67,7,0)</f>
        <v>5650047</v>
      </c>
      <c r="H51" s="17">
        <f>VLOOKUP(B51,'[1]Brokers'!$B$9:$W$67,22,0)</f>
        <v>0</v>
      </c>
      <c r="I51" s="17">
        <f>VLOOKUP(B51,'[2]Brokers'!$B$9:$R$67,17,0)</f>
        <v>0</v>
      </c>
      <c r="J51" s="17">
        <f>VLOOKUP(B51,'[2]Brokers'!$B$9:$M$67,12,0)</f>
        <v>0</v>
      </c>
      <c r="K51" s="17">
        <v>0</v>
      </c>
      <c r="L51" s="17">
        <v>0</v>
      </c>
      <c r="M51" s="18">
        <f t="shared" si="2"/>
        <v>5650047</v>
      </c>
      <c r="N51" s="31">
        <f>(VLOOKUP(B51,'[3]Sheet1'!$B$16:$N$74,13,0))+5650047</f>
        <v>77593821.23999998</v>
      </c>
      <c r="O51" s="34">
        <f t="shared" si="3"/>
        <v>0.0004548998789968393</v>
      </c>
      <c r="P51" s="36"/>
      <c r="Q51" s="19"/>
    </row>
    <row r="52" spans="1:16" ht="15">
      <c r="A52" s="12">
        <v>37</v>
      </c>
      <c r="B52" s="13" t="s">
        <v>65</v>
      </c>
      <c r="C52" s="14" t="s">
        <v>66</v>
      </c>
      <c r="D52" s="15" t="s">
        <v>14</v>
      </c>
      <c r="E52" s="16"/>
      <c r="F52" s="16"/>
      <c r="G52" s="17">
        <f>VLOOKUP(B52,'[1]Brokers'!$B$9:$H$67,7,0)</f>
        <v>3536562</v>
      </c>
      <c r="H52" s="17">
        <f>VLOOKUP(B52,'[1]Brokers'!$B$9:$W$67,22,0)</f>
        <v>0</v>
      </c>
      <c r="I52" s="17">
        <f>VLOOKUP(B52,'[2]Brokers'!$B$9:$R$67,17,0)</f>
        <v>0</v>
      </c>
      <c r="J52" s="17">
        <f>VLOOKUP(B52,'[2]Brokers'!$B$9:$M$67,12,0)</f>
        <v>0</v>
      </c>
      <c r="K52" s="17">
        <v>0</v>
      </c>
      <c r="L52" s="17">
        <v>0</v>
      </c>
      <c r="M52" s="18">
        <f t="shared" si="2"/>
        <v>3536562</v>
      </c>
      <c r="N52" s="31">
        <f>(VLOOKUP(B52,'[3]Sheet1'!$B$16:$N$74,13,0))+3536562</f>
        <v>75768603.72</v>
      </c>
      <c r="O52" s="34">
        <f t="shared" si="3"/>
        <v>0.00044419939775075155</v>
      </c>
      <c r="P52" s="36"/>
    </row>
    <row r="53" spans="1:16" ht="15">
      <c r="A53" s="12">
        <v>38</v>
      </c>
      <c r="B53" s="13" t="s">
        <v>84</v>
      </c>
      <c r="C53" s="14" t="s">
        <v>85</v>
      </c>
      <c r="D53" s="15" t="s">
        <v>14</v>
      </c>
      <c r="E53" s="16" t="s">
        <v>14</v>
      </c>
      <c r="F53" s="16"/>
      <c r="G53" s="17">
        <f>VLOOKUP(B53,'[1]Brokers'!$B$9:$H$67,7,0)</f>
        <v>493782</v>
      </c>
      <c r="H53" s="17">
        <f>VLOOKUP(B53,'[1]Brokers'!$B$9:$W$67,22,0)</f>
        <v>0</v>
      </c>
      <c r="I53" s="17">
        <f>VLOOKUP(B53,'[2]Brokers'!$B$9:$R$67,17,0)</f>
        <v>0</v>
      </c>
      <c r="J53" s="17">
        <f>VLOOKUP(B53,'[2]Brokers'!$B$9:$M$67,12,0)</f>
        <v>0</v>
      </c>
      <c r="K53" s="17">
        <v>0</v>
      </c>
      <c r="L53" s="17">
        <v>0</v>
      </c>
      <c r="M53" s="18">
        <f t="shared" si="2"/>
        <v>493782</v>
      </c>
      <c r="N53" s="31">
        <f>(VLOOKUP(B53,'[3]Sheet1'!$B$16:$N$74,13,0))+493782</f>
        <v>62652544.97</v>
      </c>
      <c r="O53" s="34">
        <f t="shared" si="3"/>
        <v>0.0003673054718821454</v>
      </c>
      <c r="P53" s="36"/>
    </row>
    <row r="54" spans="1:16" ht="15">
      <c r="A54" s="12">
        <v>39</v>
      </c>
      <c r="B54" s="13" t="s">
        <v>57</v>
      </c>
      <c r="C54" s="14" t="s">
        <v>58</v>
      </c>
      <c r="D54" s="15" t="s">
        <v>14</v>
      </c>
      <c r="E54" s="16" t="s">
        <v>14</v>
      </c>
      <c r="F54" s="16"/>
      <c r="G54" s="17">
        <f>VLOOKUP(B54,'[1]Brokers'!$B$9:$H$67,7,0)</f>
        <v>7984000</v>
      </c>
      <c r="H54" s="17">
        <f>VLOOKUP(B54,'[1]Brokers'!$B$9:$W$67,22,0)</f>
        <v>0</v>
      </c>
      <c r="I54" s="17">
        <f>VLOOKUP(B54,'[2]Brokers'!$B$9:$R$67,17,0)</f>
        <v>0</v>
      </c>
      <c r="J54" s="17">
        <f>VLOOKUP(B54,'[2]Brokers'!$B$9:$M$67,12,0)</f>
        <v>0</v>
      </c>
      <c r="K54" s="17">
        <v>0</v>
      </c>
      <c r="L54" s="17">
        <v>0</v>
      </c>
      <c r="M54" s="18">
        <f t="shared" si="2"/>
        <v>7984000</v>
      </c>
      <c r="N54" s="31">
        <f>(VLOOKUP(B54,'[3]Sheet1'!$B$16:$N$74,13,0))+7984000</f>
        <v>56428360.419999994</v>
      </c>
      <c r="O54" s="34">
        <f t="shared" si="3"/>
        <v>0.0003308157004879586</v>
      </c>
      <c r="P54" s="36"/>
    </row>
    <row r="55" spans="1:16" ht="15">
      <c r="A55" s="12">
        <v>40</v>
      </c>
      <c r="B55" s="13" t="s">
        <v>63</v>
      </c>
      <c r="C55" s="14" t="s">
        <v>64</v>
      </c>
      <c r="D55" s="15" t="s">
        <v>14</v>
      </c>
      <c r="E55" s="16"/>
      <c r="F55" s="16"/>
      <c r="G55" s="17">
        <f>VLOOKUP(B55,'[1]Brokers'!$B$9:$H$67,7,0)</f>
        <v>0</v>
      </c>
      <c r="H55" s="17">
        <f>VLOOKUP(B55,'[1]Brokers'!$B$9:$W$67,22,0)</f>
        <v>0</v>
      </c>
      <c r="I55" s="17">
        <f>VLOOKUP(B55,'[2]Brokers'!$B$9:$R$67,17,0)</f>
        <v>0</v>
      </c>
      <c r="J55" s="17">
        <f>VLOOKUP(B55,'[2]Brokers'!$B$9:$M$67,12,0)</f>
        <v>0</v>
      </c>
      <c r="K55" s="17">
        <v>0</v>
      </c>
      <c r="L55" s="17">
        <v>0</v>
      </c>
      <c r="M55" s="18">
        <f t="shared" si="2"/>
        <v>0</v>
      </c>
      <c r="N55" s="31">
        <f>(VLOOKUP(B55,'[3]Sheet1'!$B$16:$N$74,13,0))+0</f>
        <v>51296804.12</v>
      </c>
      <c r="O55" s="34">
        <f t="shared" si="3"/>
        <v>0.00030073154813367163</v>
      </c>
      <c r="P55" s="36"/>
    </row>
    <row r="56" spans="1:16" ht="15">
      <c r="A56" s="12">
        <v>41</v>
      </c>
      <c r="B56" s="13" t="s">
        <v>90</v>
      </c>
      <c r="C56" s="14" t="s">
        <v>91</v>
      </c>
      <c r="D56" s="15" t="s">
        <v>14</v>
      </c>
      <c r="E56" s="16"/>
      <c r="F56" s="16"/>
      <c r="G56" s="17">
        <f>VLOOKUP(B56,'[1]Brokers'!$B$9:$H$67,7,0)</f>
        <v>939020</v>
      </c>
      <c r="H56" s="17">
        <f>VLOOKUP(B56,'[1]Brokers'!$B$9:$W$67,22,0)</f>
        <v>0</v>
      </c>
      <c r="I56" s="17">
        <f>VLOOKUP(B56,'[2]Brokers'!$B$9:$R$67,17,0)</f>
        <v>0</v>
      </c>
      <c r="J56" s="17">
        <f>VLOOKUP(B56,'[2]Brokers'!$B$9:$M$67,12,0)</f>
        <v>0</v>
      </c>
      <c r="K56" s="17">
        <v>0</v>
      </c>
      <c r="L56" s="17">
        <v>0</v>
      </c>
      <c r="M56" s="18">
        <f t="shared" si="2"/>
        <v>939020</v>
      </c>
      <c r="N56" s="31">
        <f>(VLOOKUP(B56,'[3]Sheet1'!$B$16:$N$74,13,0))+939020</f>
        <v>44926835.03</v>
      </c>
      <c r="O56" s="34">
        <f t="shared" si="3"/>
        <v>0.00026338710340924</v>
      </c>
      <c r="P56" s="36"/>
    </row>
    <row r="57" spans="1:16" ht="15">
      <c r="A57" s="12">
        <v>42</v>
      </c>
      <c r="B57" s="13" t="s">
        <v>86</v>
      </c>
      <c r="C57" s="14" t="s">
        <v>87</v>
      </c>
      <c r="D57" s="15" t="s">
        <v>14</v>
      </c>
      <c r="E57" s="16"/>
      <c r="F57" s="16"/>
      <c r="G57" s="17">
        <f>VLOOKUP(B57,'[1]Brokers'!$B$9:$H$67,7,0)</f>
        <v>1803700</v>
      </c>
      <c r="H57" s="17">
        <f>VLOOKUP(B57,'[1]Brokers'!$B$9:$W$67,22,0)</f>
        <v>0</v>
      </c>
      <c r="I57" s="17">
        <f>VLOOKUP(B57,'[2]Brokers'!$B$9:$R$67,17,0)</f>
        <v>0</v>
      </c>
      <c r="J57" s="17">
        <f>VLOOKUP(B57,'[2]Brokers'!$B$9:$M$67,12,0)</f>
        <v>0</v>
      </c>
      <c r="K57" s="17">
        <v>0</v>
      </c>
      <c r="L57" s="17">
        <v>0</v>
      </c>
      <c r="M57" s="18">
        <f t="shared" si="2"/>
        <v>1803700</v>
      </c>
      <c r="N57" s="31">
        <f>(VLOOKUP(B57,'[3]Sheet1'!$B$16:$N$74,13,0))+1803700</f>
        <v>14753282.5</v>
      </c>
      <c r="O57" s="34">
        <f t="shared" si="3"/>
        <v>8.649227885424074E-05</v>
      </c>
      <c r="P57" s="36"/>
    </row>
    <row r="58" spans="1:16" ht="15">
      <c r="A58" s="12">
        <v>43</v>
      </c>
      <c r="B58" s="13" t="s">
        <v>135</v>
      </c>
      <c r="C58" s="14" t="s">
        <v>134</v>
      </c>
      <c r="D58" s="15" t="s">
        <v>14</v>
      </c>
      <c r="E58" s="16"/>
      <c r="F58" s="16"/>
      <c r="G58" s="17">
        <f>VLOOKUP(B58,'[1]Brokers'!$B$9:$H$67,7,0)</f>
        <v>6399168</v>
      </c>
      <c r="H58" s="17">
        <f>VLOOKUP(B58,'[1]Brokers'!$B$9:$W$67,22,0)</f>
        <v>0</v>
      </c>
      <c r="I58" s="17">
        <f>VLOOKUP(B58,'[2]Brokers'!$B$9:$R$67,17,0)</f>
        <v>0</v>
      </c>
      <c r="J58" s="17">
        <f>VLOOKUP(B58,'[2]Brokers'!$B$9:$M$67,12,0)</f>
        <v>0</v>
      </c>
      <c r="K58" s="17"/>
      <c r="L58" s="17">
        <v>0</v>
      </c>
      <c r="M58" s="18">
        <f t="shared" si="2"/>
        <v>6399168</v>
      </c>
      <c r="N58" s="31">
        <f>(VLOOKUP(B58,'[3]Sheet1'!$B$16:$N$74,13,0))+6399168</f>
        <v>12659123</v>
      </c>
      <c r="O58" s="34">
        <f t="shared" si="3"/>
        <v>7.421510410080825E-05</v>
      </c>
      <c r="P58" s="36"/>
    </row>
    <row r="59" spans="1:16" ht="15">
      <c r="A59" s="12">
        <v>44</v>
      </c>
      <c r="B59" s="13" t="s">
        <v>106</v>
      </c>
      <c r="C59" s="14" t="s">
        <v>107</v>
      </c>
      <c r="D59" s="15" t="s">
        <v>14</v>
      </c>
      <c r="E59" s="15" t="s">
        <v>14</v>
      </c>
      <c r="F59" s="16"/>
      <c r="G59" s="17">
        <f>VLOOKUP(B59,'[1]Brokers'!$B$9:$H$67,7,0)</f>
        <v>0</v>
      </c>
      <c r="H59" s="17">
        <f>VLOOKUP(B59,'[1]Brokers'!$B$9:$W$67,22,0)</f>
        <v>0</v>
      </c>
      <c r="I59" s="17">
        <f>VLOOKUP(B59,'[2]Brokers'!$B$9:$R$67,17,0)</f>
        <v>0</v>
      </c>
      <c r="J59" s="17">
        <f>VLOOKUP(B59,'[2]Brokers'!$B$9:$M$67,12,0)</f>
        <v>0</v>
      </c>
      <c r="K59" s="17">
        <v>0</v>
      </c>
      <c r="L59" s="17">
        <v>0</v>
      </c>
      <c r="M59" s="18">
        <f t="shared" si="2"/>
        <v>0</v>
      </c>
      <c r="N59" s="31">
        <f>(VLOOKUP(B59,'[3]Sheet1'!$B$16:$N$74,13,0))+0</f>
        <v>3788300</v>
      </c>
      <c r="O59" s="34">
        <f t="shared" si="3"/>
        <v>2.220920666187475E-05</v>
      </c>
      <c r="P59" s="36"/>
    </row>
    <row r="60" spans="1:16" ht="15">
      <c r="A60" s="12">
        <v>45</v>
      </c>
      <c r="B60" s="13" t="s">
        <v>112</v>
      </c>
      <c r="C60" s="14" t="s">
        <v>113</v>
      </c>
      <c r="D60" s="15" t="s">
        <v>14</v>
      </c>
      <c r="E60" s="16"/>
      <c r="F60" s="16"/>
      <c r="G60" s="17">
        <f>VLOOKUP(B60,'[1]Brokers'!$B$9:$H$67,7,0)</f>
        <v>0</v>
      </c>
      <c r="H60" s="17">
        <f>VLOOKUP(B60,'[1]Brokers'!$B$9:$W$67,22,0)</f>
        <v>0</v>
      </c>
      <c r="I60" s="17">
        <f>VLOOKUP(B60,'[2]Brokers'!$B$9:$R$67,17,0)</f>
        <v>0</v>
      </c>
      <c r="J60" s="17">
        <f>VLOOKUP(B60,'[2]Brokers'!$B$9:$M$67,12,0)</f>
        <v>0</v>
      </c>
      <c r="K60" s="17">
        <v>0</v>
      </c>
      <c r="L60" s="17">
        <v>0</v>
      </c>
      <c r="M60" s="18">
        <f t="shared" si="2"/>
        <v>0</v>
      </c>
      <c r="N60" s="31">
        <f>(VLOOKUP(B60,'[3]Sheet1'!$B$16:$N$74,13,0))+0</f>
        <v>0</v>
      </c>
      <c r="O60" s="34">
        <f t="shared" si="3"/>
        <v>0</v>
      </c>
      <c r="P60" s="36"/>
    </row>
    <row r="61" spans="1:16" ht="15">
      <c r="A61" s="12">
        <v>46</v>
      </c>
      <c r="B61" s="13" t="s">
        <v>114</v>
      </c>
      <c r="C61" s="14" t="s">
        <v>115</v>
      </c>
      <c r="D61" s="15"/>
      <c r="E61" s="16"/>
      <c r="F61" s="16"/>
      <c r="G61" s="17">
        <f>VLOOKUP(B61,'[1]Brokers'!$B$9:$H$67,7,0)</f>
        <v>0</v>
      </c>
      <c r="H61" s="17">
        <f>VLOOKUP(B61,'[1]Brokers'!$B$9:$W$67,22,0)</f>
        <v>0</v>
      </c>
      <c r="I61" s="17">
        <f>VLOOKUP(B61,'[2]Brokers'!$B$9:$R$67,17,0)</f>
        <v>0</v>
      </c>
      <c r="J61" s="17">
        <f>VLOOKUP(B61,'[2]Brokers'!$B$9:$M$67,12,0)</f>
        <v>0</v>
      </c>
      <c r="K61" s="17">
        <v>0</v>
      </c>
      <c r="L61" s="17">
        <v>0</v>
      </c>
      <c r="M61" s="18">
        <f t="shared" si="2"/>
        <v>0</v>
      </c>
      <c r="N61" s="31">
        <f>(VLOOKUP(B61,'[3]Sheet1'!$B$16:$N$74,13,0))+0</f>
        <v>0</v>
      </c>
      <c r="O61" s="34">
        <f t="shared" si="3"/>
        <v>0</v>
      </c>
      <c r="P61" s="36"/>
    </row>
    <row r="62" spans="1:16" ht="15">
      <c r="A62" s="12">
        <v>47</v>
      </c>
      <c r="B62" s="13" t="s">
        <v>100</v>
      </c>
      <c r="C62" s="14" t="s">
        <v>101</v>
      </c>
      <c r="D62" s="15"/>
      <c r="E62" s="16"/>
      <c r="F62" s="16"/>
      <c r="G62" s="17">
        <f>VLOOKUP(B62,'[1]Brokers'!$B$9:$H$67,7,0)</f>
        <v>0</v>
      </c>
      <c r="H62" s="17">
        <f>VLOOKUP(B62,'[1]Brokers'!$B$9:$W$67,22,0)</f>
        <v>0</v>
      </c>
      <c r="I62" s="17">
        <f>VLOOKUP(B62,'[2]Brokers'!$B$9:$R$67,17,0)</f>
        <v>0</v>
      </c>
      <c r="J62" s="17">
        <f>VLOOKUP(B62,'[2]Brokers'!$B$9:$M$67,12,0)</f>
        <v>0</v>
      </c>
      <c r="K62" s="17">
        <v>0</v>
      </c>
      <c r="L62" s="17">
        <v>0</v>
      </c>
      <c r="M62" s="18">
        <f t="shared" si="2"/>
        <v>0</v>
      </c>
      <c r="N62" s="31">
        <f>(VLOOKUP(B62,'[3]Sheet1'!$B$16:$N$74,13,0))+0</f>
        <v>0</v>
      </c>
      <c r="O62" s="34">
        <f t="shared" si="3"/>
        <v>0</v>
      </c>
      <c r="P62" s="36"/>
    </row>
    <row r="63" spans="1:16" ht="15">
      <c r="A63" s="12">
        <v>48</v>
      </c>
      <c r="B63" s="13" t="s">
        <v>120</v>
      </c>
      <c r="C63" s="14" t="s">
        <v>121</v>
      </c>
      <c r="D63" s="15"/>
      <c r="E63" s="16"/>
      <c r="F63" s="16"/>
      <c r="G63" s="17">
        <f>VLOOKUP(B63,'[1]Brokers'!$B$9:$H$67,7,0)</f>
        <v>0</v>
      </c>
      <c r="H63" s="17">
        <f>VLOOKUP(B63,'[1]Brokers'!$B$9:$W$67,22,0)</f>
        <v>0</v>
      </c>
      <c r="I63" s="17">
        <f>VLOOKUP(B63,'[2]Brokers'!$B$9:$R$67,17,0)</f>
        <v>0</v>
      </c>
      <c r="J63" s="17">
        <f>VLOOKUP(B63,'[2]Brokers'!$B$9:$M$67,12,0)</f>
        <v>0</v>
      </c>
      <c r="K63" s="17">
        <v>0</v>
      </c>
      <c r="L63" s="17">
        <v>0</v>
      </c>
      <c r="M63" s="18">
        <f t="shared" si="2"/>
        <v>0</v>
      </c>
      <c r="N63" s="31">
        <f>(VLOOKUP(B63,'[3]Sheet1'!$B$16:$N$74,13,0))+0</f>
        <v>0</v>
      </c>
      <c r="O63" s="34">
        <f t="shared" si="3"/>
        <v>0</v>
      </c>
      <c r="P63" s="36"/>
    </row>
    <row r="64" spans="1:16" ht="15">
      <c r="A64" s="12">
        <v>49</v>
      </c>
      <c r="B64" s="13" t="s">
        <v>116</v>
      </c>
      <c r="C64" s="14" t="s">
        <v>117</v>
      </c>
      <c r="D64" s="15"/>
      <c r="E64" s="16"/>
      <c r="F64" s="16"/>
      <c r="G64" s="17">
        <f>VLOOKUP(B64,'[1]Brokers'!$B$9:$H$67,7,0)</f>
        <v>0</v>
      </c>
      <c r="H64" s="17">
        <f>VLOOKUP(B64,'[1]Brokers'!$B$9:$W$67,22,0)</f>
        <v>0</v>
      </c>
      <c r="I64" s="17">
        <f>VLOOKUP(B64,'[2]Brokers'!$B$9:$R$67,17,0)</f>
        <v>0</v>
      </c>
      <c r="J64" s="17">
        <f>VLOOKUP(B64,'[2]Brokers'!$B$9:$M$67,12,0)</f>
        <v>0</v>
      </c>
      <c r="K64" s="17">
        <v>0</v>
      </c>
      <c r="L64" s="17">
        <v>0</v>
      </c>
      <c r="M64" s="18">
        <f t="shared" si="2"/>
        <v>0</v>
      </c>
      <c r="N64" s="31">
        <f>(VLOOKUP(B64,'[3]Sheet1'!$B$16:$N$74,13,0))+0</f>
        <v>0</v>
      </c>
      <c r="O64" s="34">
        <f t="shared" si="3"/>
        <v>0</v>
      </c>
      <c r="P64" s="36"/>
    </row>
    <row r="65" spans="1:16" ht="15">
      <c r="A65" s="12">
        <v>50</v>
      </c>
      <c r="B65" s="13" t="s">
        <v>118</v>
      </c>
      <c r="C65" s="14" t="s">
        <v>119</v>
      </c>
      <c r="D65" s="15"/>
      <c r="E65" s="16"/>
      <c r="F65" s="16"/>
      <c r="G65" s="17">
        <f>VLOOKUP(B65,'[1]Brokers'!$B$9:$H$67,7,0)</f>
        <v>0</v>
      </c>
      <c r="H65" s="17">
        <f>VLOOKUP(B65,'[1]Brokers'!$B$9:$W$67,22,0)</f>
        <v>0</v>
      </c>
      <c r="I65" s="17">
        <f>VLOOKUP(B65,'[2]Brokers'!$B$9:$R$67,17,0)</f>
        <v>0</v>
      </c>
      <c r="J65" s="17">
        <f>VLOOKUP(B65,'[2]Brokers'!$B$9:$M$67,12,0)</f>
        <v>0</v>
      </c>
      <c r="K65" s="17">
        <v>0</v>
      </c>
      <c r="L65" s="17">
        <v>0</v>
      </c>
      <c r="M65" s="18">
        <f t="shared" si="2"/>
        <v>0</v>
      </c>
      <c r="N65" s="31">
        <f>(VLOOKUP(B65,'[3]Sheet1'!$B$16:$N$74,13,0))+0</f>
        <v>0</v>
      </c>
      <c r="O65" s="34">
        <f t="shared" si="3"/>
        <v>0</v>
      </c>
      <c r="P65" s="36"/>
    </row>
    <row r="66" spans="1:17" ht="15">
      <c r="A66" s="12">
        <v>51</v>
      </c>
      <c r="B66" s="13" t="s">
        <v>110</v>
      </c>
      <c r="C66" s="14" t="s">
        <v>111</v>
      </c>
      <c r="D66" s="15"/>
      <c r="E66" s="16"/>
      <c r="F66" s="16"/>
      <c r="G66" s="17">
        <f>VLOOKUP(B66,'[1]Brokers'!$B$9:$H$67,7,0)</f>
        <v>0</v>
      </c>
      <c r="H66" s="17">
        <f>VLOOKUP(B66,'[1]Brokers'!$B$9:$W$67,22,0)</f>
        <v>0</v>
      </c>
      <c r="I66" s="17">
        <f>VLOOKUP(B66,'[2]Brokers'!$B$9:$R$67,17,0)</f>
        <v>0</v>
      </c>
      <c r="J66" s="17">
        <f>VLOOKUP(B66,'[2]Brokers'!$B$9:$M$67,12,0)</f>
        <v>0</v>
      </c>
      <c r="K66" s="17">
        <v>0</v>
      </c>
      <c r="L66" s="17">
        <v>0</v>
      </c>
      <c r="M66" s="18">
        <f t="shared" si="2"/>
        <v>0</v>
      </c>
      <c r="N66" s="31">
        <f>(VLOOKUP(B66,'[3]Sheet1'!$B$16:$N$74,13,0))+0</f>
        <v>0</v>
      </c>
      <c r="O66" s="34">
        <f t="shared" si="3"/>
        <v>0</v>
      </c>
      <c r="P66" s="36"/>
      <c r="Q66" s="21"/>
    </row>
    <row r="67" spans="1:16" ht="15">
      <c r="A67" s="12">
        <v>52</v>
      </c>
      <c r="B67" s="13" t="s">
        <v>71</v>
      </c>
      <c r="C67" s="14" t="s">
        <v>72</v>
      </c>
      <c r="D67" s="15" t="s">
        <v>14</v>
      </c>
      <c r="E67" s="16" t="s">
        <v>14</v>
      </c>
      <c r="F67" s="16"/>
      <c r="G67" s="17">
        <f>VLOOKUP(B67,'[1]Brokers'!$B$9:$H$67,7,0)</f>
        <v>0</v>
      </c>
      <c r="H67" s="17">
        <f>VLOOKUP(B67,'[1]Brokers'!$B$9:$W$67,22,0)</f>
        <v>0</v>
      </c>
      <c r="I67" s="17">
        <f>VLOOKUP(B67,'[2]Brokers'!$B$9:$R$67,17,0)</f>
        <v>0</v>
      </c>
      <c r="J67" s="17">
        <f>VLOOKUP(B67,'[2]Brokers'!$B$9:$M$67,12,0)</f>
        <v>0</v>
      </c>
      <c r="K67" s="17">
        <v>0</v>
      </c>
      <c r="L67" s="17">
        <v>0</v>
      </c>
      <c r="M67" s="18">
        <f t="shared" si="2"/>
        <v>0</v>
      </c>
      <c r="N67" s="31">
        <f>(VLOOKUP(B67,'[3]Sheet1'!$B$16:$N$74,13,0))+0</f>
        <v>0</v>
      </c>
      <c r="O67" s="34">
        <f t="shared" si="3"/>
        <v>0</v>
      </c>
      <c r="P67" s="36"/>
    </row>
    <row r="68" spans="1:16" ht="15">
      <c r="A68" s="12">
        <v>53</v>
      </c>
      <c r="B68" s="13" t="s">
        <v>92</v>
      </c>
      <c r="C68" s="14" t="s">
        <v>93</v>
      </c>
      <c r="D68" s="15" t="s">
        <v>14</v>
      </c>
      <c r="E68" s="16" t="s">
        <v>14</v>
      </c>
      <c r="F68" s="16" t="s">
        <v>14</v>
      </c>
      <c r="G68" s="17">
        <f>VLOOKUP(B68,'[1]Brokers'!$B$9:$H$67,7,0)</f>
        <v>0</v>
      </c>
      <c r="H68" s="17">
        <f>VLOOKUP(B68,'[1]Brokers'!$B$9:$W$67,22,0)</f>
        <v>0</v>
      </c>
      <c r="I68" s="17">
        <f>VLOOKUP(B68,'[2]Brokers'!$B$9:$R$67,17,0)</f>
        <v>0</v>
      </c>
      <c r="J68" s="17">
        <f>VLOOKUP(B68,'[2]Brokers'!$B$9:$M$67,12,0)</f>
        <v>0</v>
      </c>
      <c r="K68" s="17">
        <v>0</v>
      </c>
      <c r="L68" s="17">
        <v>0</v>
      </c>
      <c r="M68" s="18">
        <f t="shared" si="2"/>
        <v>0</v>
      </c>
      <c r="N68" s="31">
        <f>(VLOOKUP(B68,'[3]Sheet1'!$B$16:$N$74,13,0))+0</f>
        <v>0</v>
      </c>
      <c r="O68" s="34">
        <f t="shared" si="3"/>
        <v>0</v>
      </c>
      <c r="P68" s="36"/>
    </row>
    <row r="69" spans="1:16" ht="15">
      <c r="A69" s="12">
        <v>54</v>
      </c>
      <c r="B69" s="13" t="s">
        <v>96</v>
      </c>
      <c r="C69" s="14" t="s">
        <v>97</v>
      </c>
      <c r="D69" s="15" t="s">
        <v>14</v>
      </c>
      <c r="E69" s="16"/>
      <c r="F69" s="16"/>
      <c r="G69" s="17">
        <f>VLOOKUP(B69,'[1]Brokers'!$B$9:$H$67,7,0)</f>
        <v>0</v>
      </c>
      <c r="H69" s="17">
        <f>VLOOKUP(B69,'[1]Brokers'!$B$9:$W$67,22,0)</f>
        <v>0</v>
      </c>
      <c r="I69" s="17">
        <f>VLOOKUP(B69,'[2]Brokers'!$B$9:$R$67,17,0)</f>
        <v>0</v>
      </c>
      <c r="J69" s="17">
        <f>VLOOKUP(B69,'[2]Brokers'!$B$9:$M$67,12,0)</f>
        <v>0</v>
      </c>
      <c r="K69" s="17">
        <v>0</v>
      </c>
      <c r="L69" s="17">
        <v>0</v>
      </c>
      <c r="M69" s="18">
        <f t="shared" si="2"/>
        <v>0</v>
      </c>
      <c r="N69" s="31">
        <f>(VLOOKUP(B69,'[3]Sheet1'!$B$16:$N$74,13,0))+0</f>
        <v>0</v>
      </c>
      <c r="O69" s="34">
        <f t="shared" si="3"/>
        <v>0</v>
      </c>
      <c r="P69" s="36"/>
    </row>
    <row r="70" spans="1:16" ht="15">
      <c r="A70" s="12">
        <v>55</v>
      </c>
      <c r="B70" s="13" t="s">
        <v>98</v>
      </c>
      <c r="C70" s="14" t="s">
        <v>99</v>
      </c>
      <c r="D70" s="15" t="s">
        <v>14</v>
      </c>
      <c r="E70" s="16" t="s">
        <v>14</v>
      </c>
      <c r="F70" s="16" t="s">
        <v>14</v>
      </c>
      <c r="G70" s="17">
        <f>VLOOKUP(B70,'[1]Brokers'!$B$9:$H$67,7,0)</f>
        <v>0</v>
      </c>
      <c r="H70" s="17">
        <f>VLOOKUP(B70,'[1]Brokers'!$B$9:$W$67,22,0)</f>
        <v>0</v>
      </c>
      <c r="I70" s="17">
        <f>VLOOKUP(B70,'[2]Brokers'!$B$9:$R$67,17,0)</f>
        <v>0</v>
      </c>
      <c r="J70" s="17">
        <f>VLOOKUP(B70,'[2]Brokers'!$B$9:$M$67,12,0)</f>
        <v>0</v>
      </c>
      <c r="K70" s="17">
        <v>0</v>
      </c>
      <c r="L70" s="17">
        <v>0</v>
      </c>
      <c r="M70" s="18">
        <f t="shared" si="2"/>
        <v>0</v>
      </c>
      <c r="N70" s="31">
        <f>(VLOOKUP(B70,'[3]Sheet1'!$B$16:$N$74,13,0))+0</f>
        <v>0</v>
      </c>
      <c r="O70" s="34">
        <f t="shared" si="3"/>
        <v>0</v>
      </c>
      <c r="P70" s="36"/>
    </row>
    <row r="71" spans="1:16" ht="15">
      <c r="A71" s="12">
        <v>56</v>
      </c>
      <c r="B71" s="13" t="s">
        <v>102</v>
      </c>
      <c r="C71" s="14" t="s">
        <v>103</v>
      </c>
      <c r="D71" s="15" t="s">
        <v>14</v>
      </c>
      <c r="E71" s="16"/>
      <c r="F71" s="16"/>
      <c r="G71" s="17">
        <f>VLOOKUP(B71,'[1]Brokers'!$B$9:$H$67,7,0)</f>
        <v>0</v>
      </c>
      <c r="H71" s="17">
        <f>VLOOKUP(B71,'[1]Brokers'!$B$9:$W$67,22,0)</f>
        <v>0</v>
      </c>
      <c r="I71" s="17">
        <f>VLOOKUP(B71,'[2]Brokers'!$B$9:$R$67,17,0)</f>
        <v>0</v>
      </c>
      <c r="J71" s="17">
        <f>VLOOKUP(B71,'[2]Brokers'!$B$9:$M$67,12,0)</f>
        <v>0</v>
      </c>
      <c r="K71" s="17">
        <v>0</v>
      </c>
      <c r="L71" s="17">
        <v>0</v>
      </c>
      <c r="M71" s="18">
        <f t="shared" si="2"/>
        <v>0</v>
      </c>
      <c r="N71" s="31">
        <f>(VLOOKUP(B71,'[3]Sheet1'!$B$16:$N$74,13,0))+0</f>
        <v>0</v>
      </c>
      <c r="O71" s="34">
        <f t="shared" si="3"/>
        <v>0</v>
      </c>
      <c r="P71" s="36"/>
    </row>
    <row r="72" spans="1:16" ht="15">
      <c r="A72" s="12">
        <v>57</v>
      </c>
      <c r="B72" s="13" t="s">
        <v>104</v>
      </c>
      <c r="C72" s="14" t="s">
        <v>105</v>
      </c>
      <c r="D72" s="15"/>
      <c r="E72" s="16"/>
      <c r="F72" s="16"/>
      <c r="G72" s="17">
        <f>VLOOKUP(B72,'[1]Brokers'!$B$9:$H$67,7,0)</f>
        <v>0</v>
      </c>
      <c r="H72" s="17">
        <f>VLOOKUP(B72,'[1]Brokers'!$B$9:$W$67,22,0)</f>
        <v>0</v>
      </c>
      <c r="I72" s="17">
        <f>VLOOKUP(B72,'[2]Brokers'!$B$9:$R$67,17,0)</f>
        <v>0</v>
      </c>
      <c r="J72" s="17">
        <f>VLOOKUP(B72,'[2]Brokers'!$B$9:$M$67,12,0)</f>
        <v>0</v>
      </c>
      <c r="K72" s="17">
        <v>0</v>
      </c>
      <c r="L72" s="17">
        <v>0</v>
      </c>
      <c r="M72" s="18">
        <f t="shared" si="2"/>
        <v>0</v>
      </c>
      <c r="N72" s="31">
        <f>(VLOOKUP(B72,'[3]Sheet1'!$B$16:$N$74,13,0))+0</f>
        <v>0</v>
      </c>
      <c r="O72" s="34">
        <f t="shared" si="3"/>
        <v>0</v>
      </c>
      <c r="P72" s="36"/>
    </row>
    <row r="73" spans="1:17" ht="15">
      <c r="A73" s="12">
        <v>58</v>
      </c>
      <c r="B73" s="13" t="s">
        <v>124</v>
      </c>
      <c r="C73" s="14" t="s">
        <v>125</v>
      </c>
      <c r="D73" s="15"/>
      <c r="E73" s="16"/>
      <c r="F73" s="16"/>
      <c r="G73" s="17">
        <f>VLOOKUP(B73,'[1]Brokers'!$B$9:$H$67,7,0)</f>
        <v>0</v>
      </c>
      <c r="H73" s="17">
        <f>VLOOKUP(B73,'[1]Brokers'!$B$9:$W$67,22,0)</f>
        <v>0</v>
      </c>
      <c r="I73" s="17">
        <f>VLOOKUP(B73,'[2]Brokers'!$B$9:$R$67,17,0)</f>
        <v>0</v>
      </c>
      <c r="J73" s="17">
        <f>VLOOKUP(B73,'[2]Brokers'!$B$9:$M$67,12,0)</f>
        <v>0</v>
      </c>
      <c r="K73" s="17">
        <v>0</v>
      </c>
      <c r="L73" s="17">
        <v>0</v>
      </c>
      <c r="M73" s="18">
        <f t="shared" si="2"/>
        <v>0</v>
      </c>
      <c r="N73" s="31">
        <f>(VLOOKUP(B73,'[3]Sheet1'!$B$16:$N$74,13,0))+0</f>
        <v>0</v>
      </c>
      <c r="O73" s="34">
        <f t="shared" si="3"/>
        <v>0</v>
      </c>
      <c r="P73" s="36"/>
      <c r="Q73" s="21"/>
    </row>
    <row r="74" spans="1:17" ht="15">
      <c r="A74" s="12">
        <v>59</v>
      </c>
      <c r="B74" s="13" t="s">
        <v>126</v>
      </c>
      <c r="C74" s="14" t="s">
        <v>127</v>
      </c>
      <c r="D74" s="15"/>
      <c r="E74" s="16"/>
      <c r="F74" s="16"/>
      <c r="G74" s="17">
        <f>VLOOKUP(B74,'[1]Brokers'!$B$9:$H$67,7,0)</f>
        <v>0</v>
      </c>
      <c r="H74" s="17">
        <f>VLOOKUP(B74,'[1]Brokers'!$B$9:$W$67,22,0)</f>
        <v>0</v>
      </c>
      <c r="I74" s="17">
        <f>VLOOKUP(B74,'[2]Brokers'!$B$9:$R$67,17,0)</f>
        <v>0</v>
      </c>
      <c r="J74" s="17">
        <f>VLOOKUP(B74,'[2]Brokers'!$B$9:$M$67,12,0)</f>
        <v>0</v>
      </c>
      <c r="K74" s="17">
        <v>0</v>
      </c>
      <c r="L74" s="17">
        <v>0</v>
      </c>
      <c r="M74" s="18">
        <f t="shared" si="2"/>
        <v>0</v>
      </c>
      <c r="N74" s="31">
        <f>(VLOOKUP(B74,'[3]Sheet1'!$B$16:$N$74,13,0))+0</f>
        <v>0</v>
      </c>
      <c r="O74" s="34">
        <f t="shared" si="3"/>
        <v>0</v>
      </c>
      <c r="P74" s="36"/>
      <c r="Q74" s="21"/>
    </row>
    <row r="75" spans="1:17" ht="16.5" thickBot="1">
      <c r="A75" s="48" t="s">
        <v>6</v>
      </c>
      <c r="B75" s="49"/>
      <c r="C75" s="50"/>
      <c r="D75" s="22">
        <f>COUNTA(D16:D74)</f>
        <v>50</v>
      </c>
      <c r="E75" s="22">
        <f>COUNTA(E16:E74)</f>
        <v>23</v>
      </c>
      <c r="F75" s="22">
        <f>COUNTA(F16:F74)</f>
        <v>13</v>
      </c>
      <c r="G75" s="23">
        <f>SUM(G16:G74)</f>
        <v>4102430792</v>
      </c>
      <c r="H75" s="23">
        <f>SUM(H16:H74)</f>
        <v>2451383720</v>
      </c>
      <c r="I75" s="23">
        <f>SUM(I16:I74)</f>
        <v>0</v>
      </c>
      <c r="J75" s="23">
        <f>SUM(J16:J74)</f>
        <v>0</v>
      </c>
      <c r="K75" s="23">
        <f aca="true" t="shared" si="4" ref="K75">SUM(K16:K74)</f>
        <v>0</v>
      </c>
      <c r="L75" s="23">
        <f>SUM(L16:L74)</f>
        <v>0</v>
      </c>
      <c r="M75" s="23">
        <f>SUM(M16:M74)</f>
        <v>6553814512</v>
      </c>
      <c r="N75" s="32">
        <f>SUM(N16:N74)</f>
        <v>170573404880.02002</v>
      </c>
      <c r="O75" s="33">
        <f>SUM(O16:O74)</f>
        <v>0.9999999999999997</v>
      </c>
      <c r="P75" s="24"/>
      <c r="Q75" s="21"/>
    </row>
    <row r="76" spans="12:17" ht="15">
      <c r="L76" s="25"/>
      <c r="M76" s="26"/>
      <c r="O76" s="25"/>
      <c r="P76" s="24"/>
      <c r="Q76" s="21"/>
    </row>
    <row r="77" spans="2:17" ht="27.6" customHeight="1">
      <c r="B77" s="37" t="s">
        <v>128</v>
      </c>
      <c r="C77" s="37"/>
      <c r="D77" s="37"/>
      <c r="E77" s="37"/>
      <c r="F77" s="37"/>
      <c r="H77" s="27"/>
      <c r="I77" s="27"/>
      <c r="L77" s="25"/>
      <c r="M77" s="25"/>
      <c r="P77" s="24"/>
      <c r="Q77" s="21"/>
    </row>
    <row r="78" spans="3:17" ht="27.6" customHeight="1">
      <c r="C78" s="38"/>
      <c r="D78" s="38"/>
      <c r="E78" s="38"/>
      <c r="F78" s="38"/>
      <c r="M78" s="25"/>
      <c r="N78" s="25"/>
      <c r="P78" s="24"/>
      <c r="Q78" s="21"/>
    </row>
    <row r="79" spans="16:17" ht="15">
      <c r="P79" s="24"/>
      <c r="Q79" s="21"/>
    </row>
    <row r="80" spans="16:17" ht="15">
      <c r="P80" s="24"/>
      <c r="Q80" s="21"/>
    </row>
  </sheetData>
  <mergeCells count="16">
    <mergeCell ref="N14:N15"/>
    <mergeCell ref="O14:O15"/>
    <mergeCell ref="A75:C75"/>
    <mergeCell ref="D9:L9"/>
    <mergeCell ref="L11:O11"/>
    <mergeCell ref="A12:A15"/>
    <mergeCell ref="B12:B15"/>
    <mergeCell ref="C12:C15"/>
    <mergeCell ref="D12:F14"/>
    <mergeCell ref="G12:M13"/>
    <mergeCell ref="N12:O13"/>
    <mergeCell ref="B77:F77"/>
    <mergeCell ref="C78:F78"/>
    <mergeCell ref="M14:M15"/>
    <mergeCell ref="G14:I14"/>
    <mergeCell ref="J14:L14"/>
  </mergeCells>
  <printOptions/>
  <pageMargins left="0.7" right="0.7" top="0.75" bottom="0.75" header="0.3" footer="0.3"/>
  <pageSetup fitToHeight="2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12" sqref="F1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USR0103</cp:lastModifiedBy>
  <cp:lastPrinted>2018-09-06T08:57:50Z</cp:lastPrinted>
  <dcterms:created xsi:type="dcterms:W3CDTF">2017-06-09T07:51:20Z</dcterms:created>
  <dcterms:modified xsi:type="dcterms:W3CDTF">2019-01-29T09:17:37Z</dcterms:modified>
  <cp:category/>
  <cp:version/>
  <cp:contentType/>
  <cp:contentStatus/>
</cp:coreProperties>
</file>